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727"/>
  <workbookPr autoCompressPictures="0" defaultThemeVersion="166925"/>
  <mc:AlternateContent xmlns:mc="http://schemas.openxmlformats.org/markup-compatibility/2006">
    <mc:Choice Requires="x15">
      <x15ac:absPath xmlns:x15ac="http://schemas.microsoft.com/office/spreadsheetml/2010/11/ac" url="C:\Users\水上 甚栄\Downloads\"/>
    </mc:Choice>
  </mc:AlternateContent>
  <xr:revisionPtr revIDLastSave="0" documentId="13_ncr:1_{6845FEE7-86D7-4131-A41A-3F9C1DFFD735}" xr6:coauthVersionLast="43" xr6:coauthVersionMax="43" xr10:uidLastSave="{00000000-0000-0000-0000-000000000000}"/>
  <bookViews>
    <workbookView xWindow="1170" yWindow="1170" windowWidth="20370" windowHeight="13695" tabRatio="794" activeTab="3" xr2:uid="{2EDF8DDB-E6AD-4525-8F74-61E2B65EC1A3}"/>
  </bookViews>
  <sheets>
    <sheet name="入力（寺院情報）" sheetId="36" r:id="rId1"/>
    <sheet name="入力（受書）" sheetId="22" r:id="rId2"/>
    <sheet name="永代経受書" sheetId="24" r:id="rId3"/>
    <sheet name="入力（門徒情報）" sheetId="9" r:id="rId4"/>
    <sheet name="中陰表（法名）" sheetId="31" r:id="rId5"/>
    <sheet name="中陰表（院号）" sheetId="32" r:id="rId6"/>
    <sheet name="中陰表（法名＆尼）" sheetId="30" r:id="rId7"/>
    <sheet name="中陰表（院号＆尼）" sheetId="15" r:id="rId8"/>
    <sheet name="納骨届（法名）" sheetId="12" r:id="rId9"/>
    <sheet name="納骨届（院号）" sheetId="33" r:id="rId10"/>
    <sheet name="納骨届（尼）" sheetId="27" r:id="rId11"/>
    <sheet name="納骨届（院号＆尼）" sheetId="13" r:id="rId12"/>
    <sheet name="納骨位置" sheetId="17" r:id="rId13"/>
    <sheet name="骨壺ラベル" sheetId="29" r:id="rId14"/>
    <sheet name="骨壺ラベル（尼）" sheetId="26" r:id="rId15"/>
    <sheet name="読経申込（法名）" sheetId="34" r:id="rId16"/>
    <sheet name="読経申込（院号）" sheetId="35" r:id="rId17"/>
    <sheet name="読経申込（尼）" sheetId="19" r:id="rId18"/>
    <sheet name="読経申込（院号＆尼）" sheetId="18" r:id="rId19"/>
  </sheets>
  <definedNames>
    <definedName name="_xlnm.Print_Area" localSheetId="2">永代経受書!$A$1:$X$10</definedName>
    <definedName name="_xlnm.Print_Area" localSheetId="13">骨壺ラベル!$C$2:$AC$7</definedName>
    <definedName name="_xlnm.Print_Area" localSheetId="14">'骨壺ラベル（尼）'!$C$2:$AC$7</definedName>
    <definedName name="_xlnm.Print_Area" localSheetId="7">'中陰表（院号＆尼）'!$A$1:$Q$26</definedName>
    <definedName name="_xlnm.Print_Area" localSheetId="5">'中陰表（院号）'!$A$1:$Q$28</definedName>
    <definedName name="_xlnm.Print_Area" localSheetId="6">'中陰表（法名＆尼）'!$A$1:$Q$26</definedName>
    <definedName name="_xlnm.Print_Area" localSheetId="4">'中陰表（法名）'!$A$1:$R$28</definedName>
    <definedName name="_xlnm.Print_Area" localSheetId="18">'読経申込（院号＆尼）'!$A$1:$V$21</definedName>
    <definedName name="_xlnm.Print_Area" localSheetId="16">'読経申込（院号）'!$A$1:$V$22</definedName>
    <definedName name="_xlnm.Print_Area" localSheetId="17">'読経申込（尼）'!$A$1:$Q$21</definedName>
    <definedName name="_xlnm.Print_Area" localSheetId="15">'読経申込（法名）'!$A$1:$R$21</definedName>
    <definedName name="_xlnm.Print_Area" localSheetId="0">'入力（寺院情報）'!$B$2:$E$17</definedName>
    <definedName name="_xlnm.Print_Area" localSheetId="1">'入力（受書）'!$A$2:$C$22</definedName>
    <definedName name="_xlnm.Print_Area" localSheetId="3">'入力（門徒情報）'!$B$2:$E$33</definedName>
    <definedName name="_xlnm.Print_Area" localSheetId="12">納骨位置!$A$1:$H$22</definedName>
    <definedName name="_xlnm.Print_Area" localSheetId="11">'納骨届（院号＆尼）'!$A$1:$T$19</definedName>
    <definedName name="_xlnm.Print_Area" localSheetId="9">'納骨届（院号）'!$A$1:$S$20</definedName>
    <definedName name="Z_396A8854_A8B1_4D98_A228_1432A240A5EB_.wvu.PrintArea" localSheetId="18" hidden="1">'読経申込（院号＆尼）'!$A$1:$R$29</definedName>
    <definedName name="Z_396A8854_A8B1_4D98_A228_1432A240A5EB_.wvu.PrintArea" localSheetId="16" hidden="1">'読経申込（院号）'!$A$1:$Q$30</definedName>
    <definedName name="Z_396A8854_A8B1_4D98_A228_1432A240A5EB_.wvu.PrintArea" localSheetId="17" hidden="1">'読経申込（尼）'!$A$1:$Q$30</definedName>
    <definedName name="Z_396A8854_A8B1_4D98_A228_1432A240A5EB_.wvu.PrintArea" localSheetId="15" hidden="1">'読経申込（法名）'!$A$1:$R$30</definedName>
    <definedName name="Z_396A8854_A8B1_4D98_A228_1432A240A5EB_.wvu.PrintArea" localSheetId="11" hidden="1">'納骨届（院号＆尼）'!$A$1:$P$30</definedName>
    <definedName name="Z_396A8854_A8B1_4D98_A228_1432A240A5EB_.wvu.PrintArea" localSheetId="9" hidden="1">'納骨届（院号）'!$A$1:$P$30</definedName>
    <definedName name="Z_396A8854_A8B1_4D98_A228_1432A240A5EB_.wvu.PrintArea" localSheetId="10" hidden="1">'納骨届（尼）'!$A$1:$N$30</definedName>
    <definedName name="Z_396A8854_A8B1_4D98_A228_1432A240A5EB_.wvu.PrintArea" localSheetId="8" hidden="1">'納骨届（法名）'!$A$1:$N$30</definedName>
  </definedNames>
  <calcPr calcId="181029"/>
  <extLst>
    <ext xmlns:x14="http://schemas.microsoft.com/office/spreadsheetml/2009/9/main" uri="{79F54976-1DA5-4618-B147-4CDE4B953A38}">
      <x14:workbookPr defaultImageDpi="32767"/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C2" i="17" l="1"/>
  <c r="C1" i="17"/>
  <c r="E7" i="18" l="1"/>
  <c r="E7" i="19"/>
  <c r="E7" i="35"/>
  <c r="E7" i="34"/>
  <c r="AC2" i="26" l="1"/>
  <c r="AA2" i="26"/>
  <c r="AC2" i="29"/>
  <c r="AA2" i="29"/>
  <c r="B4" i="24" l="1"/>
  <c r="C4" i="24"/>
  <c r="D4" i="24"/>
  <c r="K3" i="24"/>
  <c r="L3" i="24"/>
  <c r="M3" i="24"/>
  <c r="N3" i="24"/>
  <c r="O3" i="24"/>
  <c r="P3" i="24"/>
  <c r="Q3" i="24"/>
  <c r="F4" i="17" l="1"/>
  <c r="F22" i="17"/>
  <c r="E22" i="17"/>
  <c r="D22" i="17"/>
  <c r="F21" i="17"/>
  <c r="E21" i="17"/>
  <c r="D21" i="17"/>
  <c r="F20" i="17"/>
  <c r="E20" i="17"/>
  <c r="D20" i="17"/>
  <c r="C20" i="17"/>
  <c r="F19" i="17"/>
  <c r="E19" i="17"/>
  <c r="D19" i="17"/>
  <c r="C19" i="17"/>
  <c r="F18" i="17"/>
  <c r="E18" i="17"/>
  <c r="D18" i="17"/>
  <c r="C18" i="17"/>
  <c r="F17" i="17"/>
  <c r="E17" i="17"/>
  <c r="D17" i="17"/>
  <c r="C17" i="17"/>
  <c r="F16" i="17"/>
  <c r="E16" i="17"/>
  <c r="D16" i="17"/>
  <c r="C16" i="17"/>
  <c r="F15" i="17"/>
  <c r="E15" i="17"/>
  <c r="D15" i="17"/>
  <c r="C15" i="17"/>
  <c r="F14" i="17"/>
  <c r="E14" i="17"/>
  <c r="D14" i="17"/>
  <c r="C14" i="17"/>
  <c r="F13" i="17"/>
  <c r="E13" i="17"/>
  <c r="D13" i="17"/>
  <c r="C13" i="17"/>
  <c r="F11" i="17"/>
  <c r="C11" i="17"/>
  <c r="F10" i="17"/>
  <c r="C10" i="17"/>
  <c r="F9" i="17"/>
  <c r="C9" i="17"/>
  <c r="F8" i="17"/>
  <c r="C8" i="17"/>
  <c r="F7" i="17"/>
  <c r="C7" i="17"/>
  <c r="F6" i="17"/>
  <c r="C6" i="17"/>
  <c r="F5" i="17"/>
  <c r="C5" i="17"/>
  <c r="C4" i="17"/>
  <c r="C3" i="17"/>
  <c r="B20" i="13"/>
  <c r="B20" i="27"/>
  <c r="B20" i="33"/>
  <c r="B20" i="12"/>
  <c r="E7" i="12"/>
  <c r="E7" i="33"/>
  <c r="E7" i="27"/>
  <c r="E7" i="13"/>
  <c r="F9" i="13"/>
  <c r="F9" i="27"/>
  <c r="F9" i="33"/>
  <c r="F9" i="12"/>
  <c r="G21" i="18"/>
  <c r="C21" i="18"/>
  <c r="B19" i="18"/>
  <c r="G21" i="19"/>
  <c r="C21" i="19"/>
  <c r="B19" i="19"/>
  <c r="G21" i="35"/>
  <c r="C21" i="35"/>
  <c r="B19" i="35"/>
  <c r="E13" i="18"/>
  <c r="D11" i="18"/>
  <c r="D10" i="18"/>
  <c r="E13" i="19"/>
  <c r="D11" i="19"/>
  <c r="D10" i="19"/>
  <c r="E13" i="35"/>
  <c r="D11" i="35"/>
  <c r="D10" i="35"/>
  <c r="M2" i="35"/>
  <c r="N2" i="35"/>
  <c r="M3" i="35"/>
  <c r="N3" i="35"/>
  <c r="C21" i="34"/>
  <c r="G21" i="34"/>
  <c r="B19" i="34"/>
  <c r="E18" i="13"/>
  <c r="C17" i="13"/>
  <c r="B16" i="13"/>
  <c r="E18" i="27"/>
  <c r="C17" i="27"/>
  <c r="B16" i="27"/>
  <c r="E18" i="33"/>
  <c r="C17" i="33"/>
  <c r="B16" i="33"/>
  <c r="E18" i="12"/>
  <c r="C17" i="12"/>
  <c r="B16" i="12"/>
  <c r="B26" i="15" l="1"/>
  <c r="B26" i="30"/>
  <c r="B26" i="32"/>
  <c r="B26" i="31"/>
  <c r="B2" i="15" l="1"/>
  <c r="A2" i="24" l="1"/>
  <c r="B2" i="30"/>
  <c r="B2" i="32"/>
  <c r="B2" i="31"/>
  <c r="N2" i="18" l="1"/>
  <c r="M2" i="18"/>
  <c r="N3" i="18"/>
  <c r="M3" i="18"/>
  <c r="S6" i="35"/>
  <c r="M6" i="35"/>
  <c r="R5" i="35"/>
  <c r="M5" i="35"/>
  <c r="R4" i="35"/>
  <c r="M4" i="35"/>
  <c r="U3" i="35"/>
  <c r="T3" i="35"/>
  <c r="U2" i="35"/>
  <c r="T2" i="35"/>
  <c r="V2" i="18"/>
  <c r="V3" i="18"/>
  <c r="U2" i="18"/>
  <c r="U3" i="18"/>
  <c r="E13" i="34"/>
  <c r="D11" i="34"/>
  <c r="D10" i="34"/>
  <c r="Q6" i="34"/>
  <c r="N6" i="34"/>
  <c r="P5" i="34"/>
  <c r="N5" i="34"/>
  <c r="P4" i="34"/>
  <c r="N4" i="34"/>
  <c r="Q3" i="34"/>
  <c r="P3" i="34"/>
  <c r="Q2" i="34"/>
  <c r="P2" i="34"/>
  <c r="O6" i="33"/>
  <c r="R2" i="33"/>
  <c r="R3" i="33"/>
  <c r="Q2" i="33"/>
  <c r="Q3" i="33"/>
  <c r="K11" i="33"/>
  <c r="J9" i="33"/>
  <c r="J8" i="33"/>
  <c r="J6" i="33"/>
  <c r="O5" i="33"/>
  <c r="J5" i="33"/>
  <c r="O4" i="33"/>
  <c r="J4" i="33"/>
  <c r="K3" i="33"/>
  <c r="J3" i="33"/>
  <c r="K2" i="33"/>
  <c r="J2" i="33"/>
  <c r="F25" i="32"/>
  <c r="F24" i="32"/>
  <c r="F23" i="32"/>
  <c r="F22" i="32"/>
  <c r="F21" i="32"/>
  <c r="F20" i="32"/>
  <c r="F19" i="32"/>
  <c r="F18" i="32"/>
  <c r="F15" i="32"/>
  <c r="F14" i="32"/>
  <c r="F13" i="32"/>
  <c r="F12" i="32"/>
  <c r="F11" i="32"/>
  <c r="F10" i="32"/>
  <c r="F9" i="32"/>
  <c r="F8" i="32"/>
  <c r="F7" i="32"/>
  <c r="N5" i="32"/>
  <c r="G5" i="32"/>
  <c r="A5" i="32"/>
  <c r="M4" i="32"/>
  <c r="L4" i="32"/>
  <c r="F4" i="32"/>
  <c r="E4" i="32"/>
  <c r="M3" i="32"/>
  <c r="L3" i="32"/>
  <c r="F3" i="32"/>
  <c r="E3" i="32"/>
  <c r="O5" i="31" l="1"/>
  <c r="H5" i="31"/>
  <c r="A5" i="31"/>
  <c r="G25" i="31"/>
  <c r="G24" i="31"/>
  <c r="G23" i="31"/>
  <c r="G22" i="31"/>
  <c r="G21" i="31"/>
  <c r="G20" i="31"/>
  <c r="G19" i="31"/>
  <c r="G18" i="31"/>
  <c r="G15" i="31"/>
  <c r="G14" i="31"/>
  <c r="G13" i="31"/>
  <c r="G12" i="31"/>
  <c r="G11" i="31"/>
  <c r="G10" i="31"/>
  <c r="G9" i="31"/>
  <c r="G8" i="31"/>
  <c r="G7" i="31"/>
  <c r="M4" i="31"/>
  <c r="L4" i="31"/>
  <c r="M3" i="31"/>
  <c r="L3" i="31"/>
  <c r="A5" i="30"/>
  <c r="G5" i="30"/>
  <c r="N5" i="30"/>
  <c r="F25" i="30"/>
  <c r="F24" i="30"/>
  <c r="F23" i="30"/>
  <c r="F22" i="30"/>
  <c r="F21" i="30"/>
  <c r="F20" i="30"/>
  <c r="F19" i="30"/>
  <c r="F18" i="30"/>
  <c r="F15" i="30"/>
  <c r="F14" i="30"/>
  <c r="F13" i="30"/>
  <c r="F12" i="30"/>
  <c r="F11" i="30"/>
  <c r="F10" i="30"/>
  <c r="F9" i="30"/>
  <c r="F8" i="30"/>
  <c r="F7" i="30"/>
  <c r="M4" i="30"/>
  <c r="L4" i="30"/>
  <c r="M3" i="30"/>
  <c r="L3" i="30"/>
  <c r="Q4" i="29"/>
  <c r="W4" i="29"/>
  <c r="K4" i="29"/>
  <c r="E4" i="29"/>
  <c r="A5" i="29"/>
  <c r="U2" i="29" s="1"/>
  <c r="AC4" i="29"/>
  <c r="AA4" i="29"/>
  <c r="V4" i="29"/>
  <c r="P4" i="29"/>
  <c r="J4" i="29"/>
  <c r="D4" i="29"/>
  <c r="Y2" i="29"/>
  <c r="X2" i="29"/>
  <c r="S2" i="29"/>
  <c r="R2" i="29"/>
  <c r="M2" i="29"/>
  <c r="L2" i="29"/>
  <c r="G2" i="29"/>
  <c r="F2" i="29"/>
  <c r="A5" i="15"/>
  <c r="I2" i="29" l="1"/>
  <c r="O2" i="29"/>
  <c r="C2" i="29"/>
  <c r="N5" i="15"/>
  <c r="N4" i="15"/>
  <c r="M4" i="15"/>
  <c r="N3" i="15"/>
  <c r="M3" i="15"/>
  <c r="F4" i="15"/>
  <c r="E4" i="15"/>
  <c r="F3" i="15"/>
  <c r="E3" i="15"/>
  <c r="S6" i="18" l="1"/>
  <c r="M6" i="18" l="1"/>
  <c r="R5" i="18"/>
  <c r="M5" i="18"/>
  <c r="R4" i="18"/>
  <c r="M4" i="18"/>
  <c r="P6" i="19"/>
  <c r="M6" i="19"/>
  <c r="O5" i="19"/>
  <c r="M5" i="19"/>
  <c r="O4" i="19"/>
  <c r="M4" i="19"/>
  <c r="P3" i="19"/>
  <c r="O3" i="19"/>
  <c r="P2" i="19"/>
  <c r="O2" i="19"/>
  <c r="K11" i="27" l="1"/>
  <c r="I9" i="27"/>
  <c r="J8" i="27"/>
  <c r="M6" i="27"/>
  <c r="J6" i="27"/>
  <c r="L5" i="27"/>
  <c r="J5" i="27"/>
  <c r="L4" i="27"/>
  <c r="J4" i="27"/>
  <c r="M3" i="27"/>
  <c r="L3" i="27"/>
  <c r="M2" i="27"/>
  <c r="L2" i="27"/>
  <c r="G2" i="26" l="1"/>
  <c r="W4" i="26"/>
  <c r="Q4" i="26"/>
  <c r="K4" i="26"/>
  <c r="E4" i="26"/>
  <c r="A5" i="26"/>
  <c r="O2" i="26" s="1"/>
  <c r="AC4" i="26"/>
  <c r="AA4" i="26"/>
  <c r="V4" i="26"/>
  <c r="P4" i="26"/>
  <c r="J4" i="26"/>
  <c r="D4" i="26"/>
  <c r="Y2" i="26"/>
  <c r="X2" i="26"/>
  <c r="S2" i="26"/>
  <c r="R2" i="26"/>
  <c r="M2" i="26"/>
  <c r="L2" i="26"/>
  <c r="F2" i="26"/>
  <c r="C2" i="26" l="1"/>
  <c r="I2" i="26"/>
  <c r="U2" i="26"/>
  <c r="G5" i="15" l="1"/>
  <c r="J6" i="12"/>
  <c r="J6" i="13"/>
  <c r="D2" i="24" l="1"/>
  <c r="J3" i="24" l="1"/>
  <c r="R3" i="24"/>
  <c r="S3" i="24"/>
  <c r="T3" i="24"/>
  <c r="U3" i="24"/>
  <c r="V3" i="24"/>
  <c r="W3" i="24"/>
  <c r="B22" i="22" l="1"/>
  <c r="D22" i="22" s="1"/>
  <c r="G21" i="22"/>
  <c r="F21" i="22"/>
  <c r="E21" i="22"/>
  <c r="D20" i="22"/>
  <c r="G20" i="22" s="1"/>
  <c r="D19" i="22"/>
  <c r="E19" i="22" s="1"/>
  <c r="H19" i="22" s="1"/>
  <c r="K4" i="24" s="1"/>
  <c r="K5" i="24" s="1"/>
  <c r="D18" i="22"/>
  <c r="G18" i="22" s="1"/>
  <c r="D17" i="22"/>
  <c r="E17" i="22" s="1"/>
  <c r="H17" i="22" s="1"/>
  <c r="M4" i="24" s="1"/>
  <c r="M5" i="24" s="1"/>
  <c r="D16" i="22"/>
  <c r="G16" i="22" s="1"/>
  <c r="D15" i="22"/>
  <c r="F15" i="22" s="1"/>
  <c r="I15" i="22" s="1"/>
  <c r="D14" i="22"/>
  <c r="G14" i="22" s="1"/>
  <c r="D13" i="22"/>
  <c r="F13" i="22" s="1"/>
  <c r="I13" i="22" s="1"/>
  <c r="D12" i="22"/>
  <c r="G12" i="22" s="1"/>
  <c r="D11" i="22"/>
  <c r="E11" i="22" s="1"/>
  <c r="H11" i="22" s="1"/>
  <c r="S4" i="24" s="1"/>
  <c r="S5" i="24" s="1"/>
  <c r="D10" i="22"/>
  <c r="G10" i="22" s="1"/>
  <c r="D9" i="22"/>
  <c r="F9" i="22" s="1"/>
  <c r="I9" i="22" s="1"/>
  <c r="D8" i="22"/>
  <c r="G8" i="22" s="1"/>
  <c r="D7" i="22"/>
  <c r="E7" i="22" s="1"/>
  <c r="H7" i="22" s="1"/>
  <c r="W4" i="24" s="1"/>
  <c r="W5" i="24" l="1"/>
  <c r="O6" i="24"/>
  <c r="O8" i="24"/>
  <c r="O7" i="24"/>
  <c r="Q6" i="24"/>
  <c r="Q7" i="24"/>
  <c r="Q8" i="24"/>
  <c r="U6" i="24"/>
  <c r="U7" i="24"/>
  <c r="U8" i="24"/>
  <c r="G22" i="22"/>
  <c r="F22" i="22"/>
  <c r="I22" i="22" s="1"/>
  <c r="E22" i="22"/>
  <c r="H22" i="22" s="1"/>
  <c r="H4" i="24" s="1"/>
  <c r="H5" i="24" s="1"/>
  <c r="G7" i="22"/>
  <c r="G9" i="22"/>
  <c r="G11" i="22"/>
  <c r="G13" i="22"/>
  <c r="G15" i="22"/>
  <c r="G17" i="22"/>
  <c r="G19" i="22"/>
  <c r="E8" i="22"/>
  <c r="H8" i="22" s="1"/>
  <c r="V4" i="24" s="1"/>
  <c r="V5" i="24" s="1"/>
  <c r="E10" i="22"/>
  <c r="H10" i="22" s="1"/>
  <c r="T4" i="24" s="1"/>
  <c r="T5" i="24" s="1"/>
  <c r="E12" i="22"/>
  <c r="H12" i="22" s="1"/>
  <c r="R4" i="24" s="1"/>
  <c r="R5" i="24" s="1"/>
  <c r="E14" i="22"/>
  <c r="H14" i="22" s="1"/>
  <c r="P4" i="24" s="1"/>
  <c r="P5" i="24" s="1"/>
  <c r="E16" i="22"/>
  <c r="H16" i="22" s="1"/>
  <c r="N4" i="24" s="1"/>
  <c r="N5" i="24" s="1"/>
  <c r="E18" i="22"/>
  <c r="H18" i="22" s="1"/>
  <c r="L4" i="24" s="1"/>
  <c r="L5" i="24" s="1"/>
  <c r="E20" i="22"/>
  <c r="H20" i="22" s="1"/>
  <c r="J4" i="24" s="1"/>
  <c r="J5" i="24" s="1"/>
  <c r="F8" i="22"/>
  <c r="I8" i="22" s="1"/>
  <c r="V8" i="24" s="1"/>
  <c r="F10" i="22"/>
  <c r="I10" i="22" s="1"/>
  <c r="F12" i="22"/>
  <c r="I12" i="22" s="1"/>
  <c r="F14" i="22"/>
  <c r="I14" i="22" s="1"/>
  <c r="F16" i="22"/>
  <c r="I16" i="22" s="1"/>
  <c r="F18" i="22"/>
  <c r="I18" i="22" s="1"/>
  <c r="F20" i="22"/>
  <c r="I20" i="22" s="1"/>
  <c r="E9" i="22"/>
  <c r="H9" i="22" s="1"/>
  <c r="U4" i="24" s="1"/>
  <c r="U5" i="24" s="1"/>
  <c r="E15" i="22"/>
  <c r="H15" i="22" s="1"/>
  <c r="O4" i="24" s="1"/>
  <c r="O5" i="24" s="1"/>
  <c r="F19" i="22"/>
  <c r="I19" i="22" s="1"/>
  <c r="E13" i="22"/>
  <c r="H13" i="22" s="1"/>
  <c r="Q4" i="24" s="1"/>
  <c r="Q5" i="24" s="1"/>
  <c r="F7" i="22"/>
  <c r="I7" i="22" s="1"/>
  <c r="F11" i="22"/>
  <c r="I11" i="22" s="1"/>
  <c r="F17" i="22"/>
  <c r="I17" i="22" s="1"/>
  <c r="J7" i="24" l="1"/>
  <c r="J8" i="24"/>
  <c r="J6" i="24"/>
  <c r="K6" i="24"/>
  <c r="K7" i="24"/>
  <c r="K8" i="24"/>
  <c r="S6" i="24"/>
  <c r="S8" i="24"/>
  <c r="S7" i="24"/>
  <c r="L8" i="24"/>
  <c r="L6" i="24"/>
  <c r="L7" i="24"/>
  <c r="M6" i="24"/>
  <c r="M8" i="24"/>
  <c r="M7" i="24"/>
  <c r="N6" i="24"/>
  <c r="N8" i="24"/>
  <c r="N7" i="24"/>
  <c r="P7" i="24"/>
  <c r="P6" i="24"/>
  <c r="P8" i="24"/>
  <c r="R7" i="24"/>
  <c r="R6" i="24"/>
  <c r="R8" i="24"/>
  <c r="T7" i="24"/>
  <c r="T8" i="24"/>
  <c r="T6" i="24"/>
  <c r="V6" i="24"/>
  <c r="V7" i="24"/>
  <c r="H6" i="24"/>
  <c r="H7" i="24"/>
  <c r="H8" i="24"/>
  <c r="W6" i="24"/>
  <c r="W7" i="24"/>
  <c r="W8" i="24"/>
  <c r="F25" i="15" l="1"/>
  <c r="F24" i="15"/>
  <c r="F23" i="15"/>
  <c r="F22" i="15"/>
  <c r="F21" i="15"/>
  <c r="F20" i="15"/>
  <c r="F19" i="15"/>
  <c r="F18" i="15"/>
  <c r="F15" i="15"/>
  <c r="F14" i="15"/>
  <c r="F13" i="15"/>
  <c r="F12" i="15"/>
  <c r="F11" i="15"/>
  <c r="F10" i="15"/>
  <c r="F9" i="15"/>
  <c r="F8" i="15"/>
  <c r="F7" i="15"/>
  <c r="K11" i="12" l="1"/>
  <c r="I9" i="12"/>
  <c r="J8" i="12"/>
  <c r="M6" i="12"/>
  <c r="L4" i="12"/>
  <c r="J4" i="12"/>
  <c r="L5" i="12"/>
  <c r="J5" i="12"/>
  <c r="M2" i="12"/>
  <c r="L2" i="12"/>
  <c r="M3" i="12"/>
  <c r="L3" i="12"/>
  <c r="M11" i="13"/>
  <c r="J9" i="13"/>
  <c r="J8" i="13"/>
  <c r="R6" i="13"/>
  <c r="O4" i="13"/>
  <c r="J4" i="13"/>
  <c r="O5" i="13"/>
  <c r="J5" i="13"/>
  <c r="S2" i="13"/>
  <c r="S3" i="13"/>
  <c r="R2" i="13"/>
  <c r="R3" i="13"/>
  <c r="K2" i="13"/>
  <c r="K3" i="13"/>
  <c r="J2" i="13"/>
  <c r="J3" i="13"/>
</calcChain>
</file>

<file path=xl/sharedStrings.xml><?xml version="1.0" encoding="utf-8"?>
<sst xmlns="http://schemas.openxmlformats.org/spreadsheetml/2006/main" count="279" uniqueCount="142">
  <si>
    <t>行年</t>
    <rPh sb="0" eb="2">
      <t>ギョウネン</t>
    </rPh>
    <phoneticPr fontId="1"/>
  </si>
  <si>
    <t>法名１文字目</t>
    <rPh sb="0" eb="2">
      <t>ホウミョウ</t>
    </rPh>
    <rPh sb="3" eb="6">
      <t>モジメ</t>
    </rPh>
    <phoneticPr fontId="1"/>
  </si>
  <si>
    <t>法名２文字目</t>
    <phoneticPr fontId="1"/>
  </si>
  <si>
    <t>法名１文字目　フリガナ</t>
    <rPh sb="0" eb="2">
      <t>ホウミョウ</t>
    </rPh>
    <rPh sb="3" eb="6">
      <t>モジメ</t>
    </rPh>
    <phoneticPr fontId="1"/>
  </si>
  <si>
    <t>法名２文字目　フリガナ</t>
    <phoneticPr fontId="1"/>
  </si>
  <si>
    <t>院号１文字目</t>
    <rPh sb="0" eb="2">
      <t>インゴウ</t>
    </rPh>
    <rPh sb="3" eb="6">
      <t>モジメ</t>
    </rPh>
    <phoneticPr fontId="1"/>
  </si>
  <si>
    <t>院号２文字目</t>
    <phoneticPr fontId="1"/>
  </si>
  <si>
    <t>院号１文字目　フリガナ</t>
    <rPh sb="3" eb="6">
      <t>モジメ</t>
    </rPh>
    <phoneticPr fontId="1"/>
  </si>
  <si>
    <t>院号２文字目　フリガナ</t>
    <phoneticPr fontId="1"/>
  </si>
  <si>
    <t>俗名　名字</t>
    <rPh sb="0" eb="2">
      <t>ゾクミョウ</t>
    </rPh>
    <rPh sb="3" eb="5">
      <t>ミョウジ</t>
    </rPh>
    <phoneticPr fontId="1"/>
  </si>
  <si>
    <t>俗名　名前</t>
    <rPh sb="3" eb="5">
      <t>ナマエ</t>
    </rPh>
    <phoneticPr fontId="1"/>
  </si>
  <si>
    <t>俗名　名字　フリガナ</t>
    <rPh sb="0" eb="2">
      <t>ゾクミョウ</t>
    </rPh>
    <rPh sb="3" eb="5">
      <t>ミョウジ</t>
    </rPh>
    <phoneticPr fontId="1"/>
  </si>
  <si>
    <t>俗名　名前　フリガナ</t>
    <rPh sb="4" eb="5">
      <t>マエ</t>
    </rPh>
    <phoneticPr fontId="1"/>
  </si>
  <si>
    <t>命日</t>
    <rPh sb="0" eb="2">
      <t>メイニチ</t>
    </rPh>
    <phoneticPr fontId="1"/>
  </si>
  <si>
    <t>郵便番号</t>
    <phoneticPr fontId="1"/>
  </si>
  <si>
    <t>住所</t>
    <rPh sb="0" eb="2">
      <t>ジュウショ</t>
    </rPh>
    <phoneticPr fontId="1"/>
  </si>
  <si>
    <t>納骨容器の場所</t>
    <rPh sb="5" eb="7">
      <t>バショ</t>
    </rPh>
    <phoneticPr fontId="1"/>
  </si>
  <si>
    <t>住職からの伝言</t>
    <rPh sb="0" eb="2">
      <t>ジュウショク</t>
    </rPh>
    <rPh sb="5" eb="7">
      <t>デンゴン</t>
    </rPh>
    <phoneticPr fontId="1"/>
  </si>
  <si>
    <t>しゃく</t>
    <phoneticPr fontId="1"/>
  </si>
  <si>
    <t>釋</t>
    <rPh sb="0" eb="1">
      <t>シャク</t>
    </rPh>
    <phoneticPr fontId="1"/>
  </si>
  <si>
    <t>いん</t>
    <phoneticPr fontId="1"/>
  </si>
  <si>
    <t>院</t>
    <rPh sb="0" eb="1">
      <t>イン</t>
    </rPh>
    <phoneticPr fontId="1"/>
  </si>
  <si>
    <t>①</t>
  </si>
  <si>
    <t>破損容器</t>
    <rPh sb="0" eb="2">
      <t>ハソン</t>
    </rPh>
    <rPh sb="2" eb="4">
      <t>ヨウキ</t>
    </rPh>
    <phoneticPr fontId="1"/>
  </si>
  <si>
    <t>破損容器</t>
    <phoneticPr fontId="1"/>
  </si>
  <si>
    <t>一、</t>
    <rPh sb="0" eb="1">
      <t>1</t>
    </rPh>
    <phoneticPr fontId="1"/>
  </si>
  <si>
    <t>親戚御香料</t>
    <rPh sb="0" eb="2">
      <t>シンセキ</t>
    </rPh>
    <rPh sb="2" eb="3">
      <t>オン</t>
    </rPh>
    <rPh sb="3" eb="5">
      <t>コウリョウ</t>
    </rPh>
    <phoneticPr fontId="1"/>
  </si>
  <si>
    <t>円</t>
    <rPh sb="0" eb="1">
      <t>エン</t>
    </rPh>
    <phoneticPr fontId="1"/>
  </si>
  <si>
    <t>千倍</t>
    <phoneticPr fontId="1"/>
  </si>
  <si>
    <t>文字列を数値に変換</t>
    <rPh sb="4" eb="6">
      <t>スウチ</t>
    </rPh>
    <rPh sb="7" eb="9">
      <t>ヘンカン</t>
    </rPh>
    <phoneticPr fontId="1"/>
  </si>
  <si>
    <t>（円単位に）</t>
    <rPh sb="1" eb="2">
      <t>エン</t>
    </rPh>
    <rPh sb="2" eb="4">
      <t>タンイ</t>
    </rPh>
    <phoneticPr fontId="1"/>
  </si>
  <si>
    <t>百万単位</t>
    <rPh sb="0" eb="1">
      <t>ヒャク</t>
    </rPh>
    <rPh sb="1" eb="2">
      <t>マン</t>
    </rPh>
    <rPh sb="2" eb="4">
      <t>タンイ</t>
    </rPh>
    <phoneticPr fontId="1"/>
  </si>
  <si>
    <t>千単位</t>
    <rPh sb="0" eb="1">
      <t>1000</t>
    </rPh>
    <rPh sb="1" eb="3">
      <t>タンイ</t>
    </rPh>
    <phoneticPr fontId="1"/>
  </si>
  <si>
    <t>#VALUE!（非表示）</t>
    <phoneticPr fontId="1"/>
  </si>
  <si>
    <t>３桁ずつ抽出＆文字列に変換</t>
    <rPh sb="4" eb="6">
      <t>チュウシュツ</t>
    </rPh>
    <rPh sb="7" eb="10">
      <t>モジレツ</t>
    </rPh>
    <rPh sb="11" eb="13">
      <t>ヘンカン</t>
    </rPh>
    <phoneticPr fontId="1"/>
  </si>
  <si>
    <t>千円</t>
    <rPh sb="0" eb="2">
      <t>センエン</t>
    </rPh>
    <phoneticPr fontId="1"/>
  </si>
  <si>
    <t>懇志納入日</t>
    <rPh sb="0" eb="2">
      <t>コンシ</t>
    </rPh>
    <rPh sb="2" eb="5">
      <t>ノウニュウビ</t>
    </rPh>
    <phoneticPr fontId="1"/>
  </si>
  <si>
    <t>懇志額合計</t>
    <rPh sb="2" eb="3">
      <t>ガク</t>
    </rPh>
    <rPh sb="3" eb="5">
      <t>ゴウケイ</t>
    </rPh>
    <phoneticPr fontId="1"/>
  </si>
  <si>
    <t>十億単位</t>
    <rPh sb="0" eb="1">
      <t>10</t>
    </rPh>
    <rPh sb="1" eb="2">
      <t>オク</t>
    </rPh>
    <rPh sb="2" eb="4">
      <t>タンイ</t>
    </rPh>
    <phoneticPr fontId="1"/>
  </si>
  <si>
    <t>受　書</t>
    <phoneticPr fontId="1"/>
  </si>
  <si>
    <t>寺の維持、み教えが永代に伝わっていくための
浄財として、有難く受納いたしました。　合掌</t>
    <rPh sb="41" eb="43">
      <t>ガッショウ</t>
    </rPh>
    <phoneticPr fontId="1"/>
  </si>
  <si>
    <t>文字列</t>
    <rPh sb="0" eb="3">
      <t>モジレツ</t>
    </rPh>
    <phoneticPr fontId="1"/>
  </si>
  <si>
    <t>文字列</t>
    <phoneticPr fontId="1"/>
  </si>
  <si>
    <t>全角ひらがな</t>
    <rPh sb="0" eb="2">
      <t>ゼンカク</t>
    </rPh>
    <phoneticPr fontId="1"/>
  </si>
  <si>
    <t>全角ひらがな</t>
    <phoneticPr fontId="1"/>
  </si>
  <si>
    <t>半角数値</t>
    <rPh sb="0" eb="2">
      <t>ハンカク</t>
    </rPh>
    <rPh sb="2" eb="4">
      <t>スウチ</t>
    </rPh>
    <phoneticPr fontId="1"/>
  </si>
  <si>
    <t>全角数値</t>
    <rPh sb="0" eb="2">
      <t>ゼンカク</t>
    </rPh>
    <rPh sb="2" eb="4">
      <t>スウチ</t>
    </rPh>
    <phoneticPr fontId="1"/>
  </si>
  <si>
    <t>全角数値</t>
    <phoneticPr fontId="1"/>
  </si>
  <si>
    <t>第一無量寿堂
１０階－２１号</t>
    <rPh sb="0" eb="2">
      <t>ダイイチ</t>
    </rPh>
    <rPh sb="2" eb="5">
      <t>ムリョウジュ</t>
    </rPh>
    <rPh sb="5" eb="6">
      <t>ドウ</t>
    </rPh>
    <rPh sb="9" eb="10">
      <t>カイ</t>
    </rPh>
    <rPh sb="13" eb="14">
      <t>ゴウ</t>
    </rPh>
    <phoneticPr fontId="1"/>
  </si>
  <si>
    <t>第二無量寿堂
１階Ｂ－６６６号</t>
    <rPh sb="1" eb="2">
      <t>2</t>
    </rPh>
    <phoneticPr fontId="1"/>
  </si>
  <si>
    <t>第一？ OR 第二？</t>
    <rPh sb="8" eb="9">
      <t>2</t>
    </rPh>
    <phoneticPr fontId="1"/>
  </si>
  <si>
    <t>法名</t>
    <phoneticPr fontId="1"/>
  </si>
  <si>
    <t>俗名</t>
    <rPh sb="0" eb="2">
      <t>ゾクミョウ</t>
    </rPh>
    <phoneticPr fontId="1"/>
  </si>
  <si>
    <t>歿</t>
    <rPh sb="0" eb="1">
      <t>ボツ</t>
    </rPh>
    <phoneticPr fontId="1"/>
  </si>
  <si>
    <t>尼</t>
    <rPh sb="0" eb="1">
      <t>アマ</t>
    </rPh>
    <phoneticPr fontId="1"/>
  </si>
  <si>
    <t>に</t>
    <phoneticPr fontId="1"/>
  </si>
  <si>
    <t>施主　名字</t>
    <rPh sb="0" eb="2">
      <t>セシュ</t>
    </rPh>
    <rPh sb="3" eb="5">
      <t>ミョウジ</t>
    </rPh>
    <phoneticPr fontId="1"/>
  </si>
  <si>
    <t>施主　名前</t>
    <rPh sb="4" eb="5">
      <t>マエ</t>
    </rPh>
    <phoneticPr fontId="1"/>
  </si>
  <si>
    <t>②</t>
    <phoneticPr fontId="1"/>
  </si>
  <si>
    <t>③</t>
    <phoneticPr fontId="1"/>
  </si>
  <si>
    <t>④</t>
    <phoneticPr fontId="1"/>
  </si>
  <si>
    <t>⑤</t>
    <phoneticPr fontId="1"/>
  </si>
  <si>
    <t>⑥</t>
    <phoneticPr fontId="1"/>
  </si>
  <si>
    <t>⑦</t>
    <phoneticPr fontId="1"/>
  </si>
  <si>
    <t>⑧</t>
    <phoneticPr fontId="1"/>
  </si>
  <si>
    <t>⑨</t>
    <phoneticPr fontId="1"/>
  </si>
  <si>
    <t>⑩</t>
    <phoneticPr fontId="1"/>
  </si>
  <si>
    <t>⑪</t>
    <phoneticPr fontId="1"/>
  </si>
  <si>
    <t>⑫</t>
    <phoneticPr fontId="1"/>
  </si>
  <si>
    <t>⑬</t>
    <phoneticPr fontId="1"/>
  </si>
  <si>
    <t>⑭</t>
    <phoneticPr fontId="1"/>
  </si>
  <si>
    <t>⑮</t>
    <phoneticPr fontId="1"/>
  </si>
  <si>
    <t>⑯</t>
    <phoneticPr fontId="1"/>
  </si>
  <si>
    <t>⑰</t>
    <phoneticPr fontId="1"/>
  </si>
  <si>
    <t>⑱</t>
    <phoneticPr fontId="1"/>
  </si>
  <si>
    <t>文字列</t>
    <phoneticPr fontId="1"/>
  </si>
  <si>
    <t>長男</t>
    <rPh sb="0" eb="2">
      <t>チョウナン</t>
    </rPh>
    <phoneticPr fontId="1"/>
  </si>
  <si>
    <t>電話番号（メイン）</t>
    <rPh sb="0" eb="2">
      <t>デンワ</t>
    </rPh>
    <rPh sb="2" eb="4">
      <t>バンゴウ</t>
    </rPh>
    <phoneticPr fontId="1"/>
  </si>
  <si>
    <t>電話番号</t>
    <phoneticPr fontId="1"/>
  </si>
  <si>
    <t>⑲</t>
    <phoneticPr fontId="1"/>
  </si>
  <si>
    <t>合 計</t>
    <rPh sb="0" eb="1">
      <t>ゴウ</t>
    </rPh>
    <rPh sb="2" eb="3">
      <t>ケイ</t>
    </rPh>
    <phoneticPr fontId="1"/>
  </si>
  <si>
    <t>法</t>
    <rPh sb="0" eb="1">
      <t>ホウ</t>
    </rPh>
    <phoneticPr fontId="1"/>
  </si>
  <si>
    <t>名</t>
    <rPh sb="0" eb="1">
      <t>ナ</t>
    </rPh>
    <phoneticPr fontId="1"/>
  </si>
  <si>
    <t>ほう</t>
    <phoneticPr fontId="1"/>
  </si>
  <si>
    <t>みょう</t>
    <phoneticPr fontId="1"/>
  </si>
  <si>
    <t>釋</t>
    <phoneticPr fontId="1"/>
  </si>
  <si>
    <t>尼</t>
    <rPh sb="0" eb="1">
      <t>アマ</t>
    </rPh>
    <phoneticPr fontId="1"/>
  </si>
  <si>
    <t>に</t>
    <phoneticPr fontId="1"/>
  </si>
  <si>
    <t>８３</t>
  </si>
  <si>
    <t>納骨容器の収蔵番号は 526 番です。</t>
    <rPh sb="7" eb="9">
      <t>バンゴウ</t>
    </rPh>
    <phoneticPr fontId="1"/>
  </si>
  <si>
    <t>長谷川</t>
    <rPh sb="0" eb="3">
      <t>ハセガワ</t>
    </rPh>
    <phoneticPr fontId="1"/>
  </si>
  <si>
    <t>はせがわ</t>
    <phoneticPr fontId="1"/>
  </si>
  <si>
    <t>長谷川</t>
    <rPh sb="0" eb="3">
      <t>ハセガワ</t>
    </rPh>
    <phoneticPr fontId="1"/>
  </si>
  <si>
    <t>勘右ヱ門</t>
    <phoneticPr fontId="1"/>
  </si>
  <si>
    <t>やそべえ</t>
  </si>
  <si>
    <t>弥惣兵衛</t>
    <phoneticPr fontId="1"/>
  </si>
  <si>
    <t>應</t>
    <rPh sb="0" eb="1">
      <t>オウ</t>
    </rPh>
    <phoneticPr fontId="1"/>
  </si>
  <si>
    <t>報</t>
    <rPh sb="0" eb="1">
      <t>ムク</t>
    </rPh>
    <phoneticPr fontId="1"/>
  </si>
  <si>
    <t>おう</t>
    <phoneticPr fontId="1"/>
  </si>
  <si>
    <t>ほう</t>
    <phoneticPr fontId="1"/>
  </si>
  <si>
    <t>顯</t>
  </si>
  <si>
    <t>證</t>
    <phoneticPr fontId="1"/>
  </si>
  <si>
    <t>けん</t>
    <phoneticPr fontId="1"/>
  </si>
  <si>
    <t>しょう</t>
    <phoneticPr fontId="1"/>
  </si>
  <si>
    <t>葬儀 御布施 役僧</t>
    <phoneticPr fontId="1"/>
  </si>
  <si>
    <t>山号</t>
    <rPh sb="0" eb="1">
      <t>ヤマ</t>
    </rPh>
    <rPh sb="1" eb="2">
      <t>ゴウ</t>
    </rPh>
    <phoneticPr fontId="1"/>
  </si>
  <si>
    <t>寺院名</t>
    <rPh sb="0" eb="2">
      <t>ジイン</t>
    </rPh>
    <rPh sb="2" eb="3">
      <t>メイ</t>
    </rPh>
    <phoneticPr fontId="1"/>
  </si>
  <si>
    <t>電話番号</t>
    <rPh sb="0" eb="4">
      <t>デンワバンゴウ</t>
    </rPh>
    <phoneticPr fontId="1"/>
  </si>
  <si>
    <t>寺院番号</t>
    <rPh sb="0" eb="2">
      <t>ジイン</t>
    </rPh>
    <rPh sb="2" eb="4">
      <t>バンゴウ</t>
    </rPh>
    <phoneticPr fontId="1"/>
  </si>
  <si>
    <t>住職名</t>
    <rPh sb="0" eb="2">
      <t>ジュウショク</t>
    </rPh>
    <rPh sb="2" eb="3">
      <t>メイ</t>
    </rPh>
    <phoneticPr fontId="1"/>
  </si>
  <si>
    <t>福井</t>
    <rPh sb="0" eb="2">
      <t>フクイ</t>
    </rPh>
    <phoneticPr fontId="1"/>
  </si>
  <si>
    <t>吉田</t>
    <rPh sb="0" eb="2">
      <t>ヨシダ</t>
    </rPh>
    <phoneticPr fontId="1"/>
  </si>
  <si>
    <t>水上 甚栄</t>
    <rPh sb="0" eb="2">
      <t>スイジョウ</t>
    </rPh>
    <rPh sb="3" eb="4">
      <t>ジン</t>
    </rPh>
    <rPh sb="4" eb="5">
      <t>サカエ</t>
    </rPh>
    <phoneticPr fontId="1"/>
  </si>
  <si>
    <t>教区</t>
    <rPh sb="0" eb="2">
      <t>キョウク</t>
    </rPh>
    <phoneticPr fontId="1"/>
  </si>
  <si>
    <t>組</t>
    <rPh sb="0" eb="1">
      <t>クミ</t>
    </rPh>
    <phoneticPr fontId="1"/>
  </si>
  <si>
    <t>①</t>
    <phoneticPr fontId="1"/>
  </si>
  <si>
    <t>葬儀 御布施 住職</t>
    <phoneticPr fontId="1"/>
  </si>
  <si>
    <t>通夜 御布施</t>
    <phoneticPr fontId="1"/>
  </si>
  <si>
    <t>御車料</t>
    <phoneticPr fontId="1"/>
  </si>
  <si>
    <t>臨終勤行 御布施</t>
    <rPh sb="0" eb="2">
      <t>リンジュウ</t>
    </rPh>
    <rPh sb="2" eb="4">
      <t>ゴンギョウ</t>
    </rPh>
    <rPh sb="5" eb="6">
      <t>オン</t>
    </rPh>
    <rPh sb="6" eb="8">
      <t>フセ</t>
    </rPh>
    <phoneticPr fontId="1"/>
  </si>
  <si>
    <t>御膳料</t>
    <phoneticPr fontId="1"/>
  </si>
  <si>
    <t>初七日 御布施</t>
    <rPh sb="0" eb="3">
      <t>ショナノカ</t>
    </rPh>
    <phoneticPr fontId="1"/>
  </si>
  <si>
    <t>永代経 懇志</t>
    <phoneticPr fontId="1"/>
  </si>
  <si>
    <t>法名 礼金</t>
    <phoneticPr fontId="1"/>
  </si>
  <si>
    <t>納骨 礼金</t>
    <phoneticPr fontId="1"/>
  </si>
  <si>
    <t>中陰勤行 御布施</t>
    <phoneticPr fontId="1"/>
  </si>
  <si>
    <t>⑦</t>
    <phoneticPr fontId="1"/>
  </si>
  <si>
    <t>⑪</t>
    <phoneticPr fontId="1"/>
  </si>
  <si>
    <t>住所</t>
    <rPh sb="0" eb="2">
      <t>ジュウショ</t>
    </rPh>
    <phoneticPr fontId="1"/>
  </si>
  <si>
    <t>０７７９－８７－０３２０</t>
    <phoneticPr fontId="1"/>
  </si>
  <si>
    <t>１２－２３－４５</t>
    <phoneticPr fontId="1"/>
  </si>
  <si>
    <t>勝山市野向町北野津又四十号二番地</t>
    <rPh sb="10" eb="12">
      <t>40</t>
    </rPh>
    <rPh sb="13" eb="14">
      <t>2</t>
    </rPh>
    <phoneticPr fontId="1"/>
  </si>
  <si>
    <t>浄土真宗 本願寺派 河久保山</t>
    <rPh sb="10" eb="11">
      <t>カワ</t>
    </rPh>
    <rPh sb="11" eb="14">
      <t>クボヤマ</t>
    </rPh>
    <phoneticPr fontId="1"/>
  </si>
  <si>
    <t>道場寺</t>
    <rPh sb="0" eb="2">
      <t>ドウジョウ</t>
    </rPh>
    <phoneticPr fontId="1"/>
  </si>
  <si>
    <t>福井市高木中央２丁目２２０８番
サニーハイツ高木３０２号</t>
    <rPh sb="0" eb="3">
      <t>フクイシ</t>
    </rPh>
    <rPh sb="3" eb="5">
      <t>タカギ</t>
    </rPh>
    <rPh sb="5" eb="7">
      <t>チュウオウ</t>
    </rPh>
    <rPh sb="8" eb="10">
      <t>チョウメ</t>
    </rPh>
    <rPh sb="14" eb="15">
      <t>バン</t>
    </rPh>
    <rPh sb="22" eb="24">
      <t>タカギ</t>
    </rPh>
    <rPh sb="27" eb="28">
      <t>ゴウ</t>
    </rPh>
    <phoneticPr fontId="1"/>
  </si>
  <si>
    <t>９１０－０８０４</t>
    <phoneticPr fontId="1"/>
  </si>
  <si>
    <t>０７７６－５２－２９１９</t>
    <phoneticPr fontId="1"/>
  </si>
  <si>
    <t>０９０－２８３２－１８３９</t>
    <phoneticPr fontId="1"/>
  </si>
  <si>
    <t>永代経懇志 受書 入力欄</t>
    <rPh sb="0" eb="2">
      <t>エイタイ</t>
    </rPh>
    <rPh sb="2" eb="3">
      <t>キョウ</t>
    </rPh>
    <rPh sb="3" eb="5">
      <t>コンシ</t>
    </rPh>
    <rPh sb="6" eb="7">
      <t>ウ</t>
    </rPh>
    <rPh sb="7" eb="8">
      <t>カ</t>
    </rPh>
    <rPh sb="9" eb="12">
      <t>ニュウリョクラン</t>
    </rPh>
    <phoneticPr fontId="1"/>
  </si>
  <si>
    <t>門徒情報 入力欄</t>
    <rPh sb="0" eb="2">
      <t>モント</t>
    </rPh>
    <rPh sb="2" eb="4">
      <t>ジョウホウ</t>
    </rPh>
    <rPh sb="5" eb="8">
      <t>ニュウリョクラン</t>
    </rPh>
    <phoneticPr fontId="1"/>
  </si>
  <si>
    <t>寺院情報 入力欄</t>
    <rPh sb="0" eb="2">
      <t>ジイン</t>
    </rPh>
    <rPh sb="2" eb="4">
      <t>ジョウホウ</t>
    </rPh>
    <rPh sb="5" eb="8">
      <t>ニュウリョクラン</t>
    </rPh>
    <phoneticPr fontId="1"/>
  </si>
  <si>
    <t>故人との続柄</t>
    <rPh sb="0" eb="2">
      <t>コジン</t>
    </rPh>
    <rPh sb="4" eb="6">
      <t>ゾクガラ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</si>
</sst>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176" formatCode="yyyy&quot;年&quot;mm&quot;月&quot;dd&quot;日&quot;"/>
    <numFmt numFmtId="177" formatCode="yyyy&quot;年&quot;mm&quot;月&quot;dd&quot;日&quot;\ aaaa"/>
    <numFmt numFmtId="178" formatCode="[&lt;=43585][$-411]ggge&quot;年&quot;m&quot;月&quot;d&quot;日&quot;;[&gt;=43831]ggge&quot;年&quot;m&quot;月&quot;d&quot;日&quot;;ggg&quot;元年&quot;m&quot;月&quot;d&quot;日&quot;"/>
    <numFmt numFmtId="179" formatCode="[DBNum1]#,##0\ "/>
    <numFmt numFmtId="180" formatCode="[DBNum1]ggge&quot;年&quot;m&quot;月&quot;d&quot;日&quot;"/>
    <numFmt numFmtId="181" formatCode="0_ "/>
    <numFmt numFmtId="182" formatCode="[$-F800]dddd\,\ mmmm\ dd\,\ yyyy"/>
    <numFmt numFmtId="183" formatCode="[DBNum1][$-411]General"/>
    <numFmt numFmtId="184" formatCode="[DBNum1]m&quot;月&quot;d&quot;日&quot;"/>
    <numFmt numFmtId="185" formatCode="[DBNum1]\ ggge&quot;年&quot;"/>
  </numFmts>
  <fonts count="29"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14"/>
      <color theme="1"/>
      <name val="ＭＳ 明朝"/>
      <family val="1"/>
      <charset val="128"/>
    </font>
    <font>
      <sz val="18"/>
      <color theme="1"/>
      <name val="ＭＳ 明朝"/>
      <family val="1"/>
      <charset val="128"/>
    </font>
    <font>
      <sz val="24"/>
      <color theme="1"/>
      <name val="ＭＳ 明朝"/>
      <family val="1"/>
      <charset val="128"/>
    </font>
    <font>
      <sz val="16"/>
      <color theme="1"/>
      <name val="ＭＳ 明朝"/>
      <family val="1"/>
      <charset val="128"/>
    </font>
    <font>
      <sz val="10"/>
      <color theme="1"/>
      <name val="ＭＳ 明朝"/>
      <family val="1"/>
      <charset val="128"/>
    </font>
    <font>
      <sz val="11"/>
      <color theme="1"/>
      <name val="ＭＳ 明朝"/>
      <family val="1"/>
      <charset val="128"/>
    </font>
    <font>
      <sz val="20"/>
      <color theme="1"/>
      <name val="ＭＳ 明朝"/>
      <family val="1"/>
      <charset val="128"/>
    </font>
    <font>
      <sz val="12"/>
      <color theme="1"/>
      <name val="ＭＳ 明朝"/>
      <family val="1"/>
      <charset val="128"/>
    </font>
    <font>
      <sz val="18"/>
      <color rgb="FFC00000"/>
      <name val="ＭＳ 明朝"/>
      <family val="1"/>
      <charset val="128"/>
    </font>
    <font>
      <sz val="14"/>
      <color theme="1"/>
      <name val="游ゴシック"/>
      <family val="3"/>
      <charset val="128"/>
      <scheme val="minor"/>
    </font>
    <font>
      <sz val="12"/>
      <color theme="1"/>
      <name val="游ゴシック"/>
      <family val="3"/>
      <charset val="128"/>
      <scheme val="minor"/>
    </font>
    <font>
      <sz val="9"/>
      <color theme="1"/>
      <name val="ＭＳ 明朝"/>
      <family val="1"/>
      <charset val="128"/>
    </font>
    <font>
      <sz val="9"/>
      <color theme="1"/>
      <name val="ＭＳ ゴシック"/>
      <family val="3"/>
      <charset val="128"/>
    </font>
    <font>
      <sz val="8"/>
      <color theme="1"/>
      <name val="@ＭＳ ゴシック"/>
      <family val="3"/>
      <charset val="128"/>
    </font>
    <font>
      <sz val="9"/>
      <color theme="1"/>
      <name val="@ＭＳ ゴシック"/>
      <family val="3"/>
      <charset val="128"/>
    </font>
    <font>
      <sz val="22"/>
      <color theme="1"/>
      <name val="ＭＳ 明朝"/>
      <family val="1"/>
      <charset val="128"/>
    </font>
    <font>
      <sz val="8"/>
      <color theme="1"/>
      <name val="ＭＳ 明朝"/>
      <family val="1"/>
      <charset val="128"/>
    </font>
    <font>
      <sz val="55"/>
      <color theme="1"/>
      <name val="@ＭＳ 明朝"/>
      <family val="1"/>
      <charset val="128"/>
    </font>
    <font>
      <sz val="24"/>
      <color theme="1"/>
      <name val="@ＭＳ 明朝"/>
      <family val="1"/>
      <charset val="128"/>
    </font>
    <font>
      <sz val="16"/>
      <color theme="1"/>
      <name val="@ＭＳ 明朝"/>
      <family val="1"/>
      <charset val="128"/>
    </font>
    <font>
      <sz val="14"/>
      <color theme="1"/>
      <name val="@ＭＳ 明朝"/>
      <family val="1"/>
      <charset val="128"/>
    </font>
    <font>
      <sz val="36"/>
      <color theme="1"/>
      <name val="@ＭＳ 明朝"/>
      <family val="1"/>
      <charset val="128"/>
    </font>
    <font>
      <sz val="20"/>
      <color theme="1"/>
      <name val="@ＭＳ 明朝"/>
      <family val="1"/>
      <charset val="128"/>
    </font>
    <font>
      <sz val="20"/>
      <color theme="1"/>
      <name val="@ＭＳ 明朝朝"/>
      <family val="1"/>
      <charset val="128"/>
    </font>
    <font>
      <sz val="26"/>
      <color theme="1"/>
      <name val="ＭＳ 明朝"/>
      <family val="1"/>
      <charset val="128"/>
    </font>
    <font>
      <sz val="9"/>
      <color theme="1"/>
      <name val="游ゴシック"/>
      <family val="3"/>
      <charset val="128"/>
      <scheme val="minor"/>
    </font>
    <font>
      <sz val="26"/>
      <color theme="1"/>
      <name val="@ＭＳ 明朝"/>
      <family val="1"/>
      <charset val="128"/>
    </font>
  </fonts>
  <fills count="3">
    <fill>
      <patternFill patternType="none"/>
    </fill>
    <fill>
      <patternFill patternType="gray125"/>
    </fill>
    <fill>
      <patternFill patternType="solid">
        <fgColor theme="5" tint="0.59996337778862885"/>
        <bgColor indexed="64"/>
      </patternFill>
    </fill>
  </fills>
  <borders count="30">
    <border>
      <left/>
      <right/>
      <top/>
      <bottom/>
      <diagonal/>
    </border>
    <border>
      <left/>
      <right/>
      <top/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/>
      <right/>
      <top/>
      <bottom style="dashed">
        <color auto="1"/>
      </bottom>
      <diagonal/>
    </border>
    <border>
      <left/>
      <right/>
      <top style="double">
        <color auto="1"/>
      </top>
      <bottom/>
      <diagonal/>
    </border>
  </borders>
  <cellStyleXfs count="3">
    <xf numFmtId="0" fontId="0" fillId="0" borderId="0">
      <alignment vertical="center"/>
    </xf>
    <xf numFmtId="0" fontId="7" fillId="0" borderId="0">
      <alignment vertical="center"/>
    </xf>
    <xf numFmtId="0" fontId="2" fillId="0" borderId="0">
      <alignment vertical="center"/>
    </xf>
  </cellStyleXfs>
  <cellXfs count="234">
    <xf numFmtId="0" fontId="0" fillId="0" borderId="0" xfId="0">
      <alignment vertical="center"/>
    </xf>
    <xf numFmtId="0" fontId="2" fillId="0" borderId="0" xfId="0" applyFont="1" applyProtection="1">
      <alignment vertical="center"/>
    </xf>
    <xf numFmtId="0" fontId="3" fillId="0" borderId="0" xfId="0" applyFont="1" applyProtection="1">
      <alignment vertical="center"/>
    </xf>
    <xf numFmtId="0" fontId="2" fillId="0" borderId="0" xfId="0" applyFont="1" applyAlignment="1" applyProtection="1">
      <alignment vertical="top"/>
    </xf>
    <xf numFmtId="0" fontId="2" fillId="0" borderId="0" xfId="0" applyFont="1" applyAlignment="1" applyProtection="1"/>
    <xf numFmtId="0" fontId="3" fillId="0" borderId="0" xfId="0" applyFont="1" applyAlignment="1" applyProtection="1"/>
    <xf numFmtId="0" fontId="2" fillId="0" borderId="1" xfId="0" applyFont="1" applyBorder="1" applyProtection="1">
      <alignment vertical="center"/>
    </xf>
    <xf numFmtId="49" fontId="7" fillId="0" borderId="0" xfId="1" applyNumberFormat="1" applyFont="1" applyAlignment="1" applyProtection="1">
      <alignment horizontal="center"/>
    </xf>
    <xf numFmtId="49" fontId="6" fillId="0" borderId="0" xfId="1" applyNumberFormat="1" applyFont="1" applyAlignment="1" applyProtection="1">
      <alignment horizontal="center" vertical="center"/>
    </xf>
    <xf numFmtId="49" fontId="4" fillId="0" borderId="0" xfId="1" applyNumberFormat="1" applyFont="1" applyAlignment="1" applyProtection="1">
      <alignment horizontal="center" vertical="center"/>
    </xf>
    <xf numFmtId="49" fontId="7" fillId="0" borderId="0" xfId="1" applyNumberFormat="1" applyFont="1" applyAlignment="1" applyProtection="1">
      <alignment horizontal="center" vertical="center"/>
    </xf>
    <xf numFmtId="0" fontId="7" fillId="0" borderId="0" xfId="1" applyNumberFormat="1" applyFont="1" applyProtection="1">
      <alignment vertical="center"/>
    </xf>
    <xf numFmtId="0" fontId="6" fillId="0" borderId="0" xfId="1" applyNumberFormat="1" applyFont="1" applyAlignment="1" applyProtection="1">
      <alignment horizontal="center" vertical="center"/>
    </xf>
    <xf numFmtId="0" fontId="4" fillId="0" borderId="0" xfId="1" applyNumberFormat="1" applyFont="1" applyAlignment="1" applyProtection="1">
      <alignment horizontal="center" vertical="center"/>
    </xf>
    <xf numFmtId="0" fontId="8" fillId="0" borderId="0" xfId="1" applyNumberFormat="1" applyFont="1" applyAlignment="1" applyProtection="1">
      <alignment horizontal="center" vertical="center"/>
    </xf>
    <xf numFmtId="0" fontId="6" fillId="0" borderId="0" xfId="1" applyNumberFormat="1" applyFont="1" applyAlignment="1" applyProtection="1">
      <alignment vertical="center"/>
    </xf>
    <xf numFmtId="0" fontId="8" fillId="0" borderId="0" xfId="1" applyNumberFormat="1" applyFont="1" applyAlignment="1" applyProtection="1">
      <alignment vertical="center"/>
    </xf>
    <xf numFmtId="0" fontId="9" fillId="0" borderId="0" xfId="1" applyNumberFormat="1" applyFont="1" applyAlignment="1" applyProtection="1">
      <alignment vertical="center" wrapText="1"/>
    </xf>
    <xf numFmtId="0" fontId="7" fillId="0" borderId="0" xfId="1" applyNumberFormat="1" applyFont="1" applyAlignment="1" applyProtection="1">
      <alignment vertical="center"/>
    </xf>
    <xf numFmtId="0" fontId="9" fillId="0" borderId="0" xfId="0" applyFont="1" applyAlignment="1">
      <alignment horizontal="right" vertical="center"/>
    </xf>
    <xf numFmtId="0" fontId="9" fillId="0" borderId="2" xfId="0" applyFont="1" applyBorder="1" applyAlignment="1">
      <alignment horizontal="right" vertical="center" indent="1"/>
    </xf>
    <xf numFmtId="0" fontId="9" fillId="0" borderId="0" xfId="0" applyFont="1" applyBorder="1" applyAlignment="1">
      <alignment horizontal="right" vertical="center"/>
    </xf>
    <xf numFmtId="0" fontId="9" fillId="0" borderId="3" xfId="0" applyFont="1" applyBorder="1" applyAlignment="1">
      <alignment horizontal="right" vertical="center" indent="1"/>
    </xf>
    <xf numFmtId="0" fontId="9" fillId="0" borderId="4" xfId="0" applyFont="1" applyBorder="1" applyAlignment="1">
      <alignment horizontal="right" vertical="center"/>
    </xf>
    <xf numFmtId="0" fontId="9" fillId="0" borderId="5" xfId="0" applyFont="1" applyBorder="1" applyAlignment="1">
      <alignment horizontal="right" vertical="center" indent="1"/>
    </xf>
    <xf numFmtId="0" fontId="9" fillId="0" borderId="6" xfId="0" applyFont="1" applyBorder="1" applyAlignment="1">
      <alignment horizontal="right" vertical="center" indent="1"/>
    </xf>
    <xf numFmtId="0" fontId="9" fillId="0" borderId="7" xfId="0" applyFont="1" applyBorder="1" applyAlignment="1">
      <alignment horizontal="right" vertical="center" indent="1"/>
    </xf>
    <xf numFmtId="0" fontId="9" fillId="0" borderId="8" xfId="0" applyFont="1" applyBorder="1" applyAlignment="1">
      <alignment horizontal="right" vertical="center"/>
    </xf>
    <xf numFmtId="0" fontId="9" fillId="0" borderId="9" xfId="0" applyFont="1" applyBorder="1" applyAlignment="1">
      <alignment horizontal="right" vertical="center"/>
    </xf>
    <xf numFmtId="0" fontId="9" fillId="0" borderId="10" xfId="0" applyFont="1" applyBorder="1" applyAlignment="1">
      <alignment horizontal="right" vertical="center" indent="1"/>
    </xf>
    <xf numFmtId="0" fontId="9" fillId="0" borderId="11" xfId="0" applyFont="1" applyBorder="1" applyAlignment="1">
      <alignment horizontal="right" vertical="center" indent="1"/>
    </xf>
    <xf numFmtId="0" fontId="9" fillId="0" borderId="12" xfId="0" applyFont="1" applyBorder="1" applyAlignment="1">
      <alignment horizontal="right" vertical="center" indent="1"/>
    </xf>
    <xf numFmtId="49" fontId="9" fillId="0" borderId="0" xfId="1" applyNumberFormat="1" applyFont="1" applyAlignment="1" applyProtection="1">
      <alignment vertical="center" wrapText="1"/>
    </xf>
    <xf numFmtId="0" fontId="11" fillId="0" borderId="0" xfId="0" applyFont="1" applyProtection="1">
      <alignment vertical="center"/>
    </xf>
    <xf numFmtId="0" fontId="12" fillId="0" borderId="14" xfId="0" applyFont="1" applyBorder="1" applyAlignment="1" applyProtection="1">
      <alignment horizontal="center"/>
    </xf>
    <xf numFmtId="0" fontId="12" fillId="0" borderId="18" xfId="0" applyFont="1" applyBorder="1" applyAlignment="1" applyProtection="1">
      <alignment horizontal="center" vertical="top"/>
    </xf>
    <xf numFmtId="0" fontId="12" fillId="0" borderId="2" xfId="0" applyNumberFormat="1" applyFont="1" applyBorder="1" applyAlignment="1" applyProtection="1">
      <alignment horizontal="center" vertical="center"/>
    </xf>
    <xf numFmtId="3" fontId="11" fillId="0" borderId="19" xfId="0" applyNumberFormat="1" applyFont="1" applyBorder="1" applyProtection="1">
      <alignment vertical="center"/>
    </xf>
    <xf numFmtId="0" fontId="11" fillId="0" borderId="14" xfId="0" applyNumberFormat="1" applyFont="1" applyBorder="1" applyAlignment="1" applyProtection="1">
      <alignment horizontal="right" vertical="center"/>
    </xf>
    <xf numFmtId="0" fontId="11" fillId="0" borderId="19" xfId="0" applyFont="1" applyBorder="1" applyAlignment="1" applyProtection="1">
      <alignment horizontal="right" vertical="center"/>
    </xf>
    <xf numFmtId="0" fontId="11" fillId="0" borderId="19" xfId="0" applyNumberFormat="1" applyFont="1" applyBorder="1" applyAlignment="1" applyProtection="1">
      <alignment horizontal="right" vertical="center"/>
    </xf>
    <xf numFmtId="3" fontId="11" fillId="0" borderId="18" xfId="0" applyNumberFormat="1" applyFont="1" applyBorder="1" applyProtection="1">
      <alignment vertical="center"/>
    </xf>
    <xf numFmtId="0" fontId="11" fillId="0" borderId="18" xfId="0" applyNumberFormat="1" applyFont="1" applyBorder="1" applyAlignment="1" applyProtection="1">
      <alignment horizontal="right" vertical="center"/>
    </xf>
    <xf numFmtId="0" fontId="11" fillId="0" borderId="18" xfId="0" applyFont="1" applyBorder="1" applyAlignment="1" applyProtection="1">
      <alignment horizontal="right" vertical="center"/>
    </xf>
    <xf numFmtId="0" fontId="11" fillId="0" borderId="0" xfId="0" applyFont="1" applyBorder="1" applyProtection="1">
      <alignment vertical="center"/>
    </xf>
    <xf numFmtId="0" fontId="11" fillId="0" borderId="0" xfId="0" applyNumberFormat="1" applyFont="1" applyBorder="1" applyProtection="1">
      <alignment vertical="center"/>
    </xf>
    <xf numFmtId="0" fontId="11" fillId="0" borderId="0" xfId="0" applyNumberFormat="1" applyFont="1" applyBorder="1" applyAlignment="1" applyProtection="1">
      <alignment horizontal="center" vertical="center"/>
    </xf>
    <xf numFmtId="0" fontId="11" fillId="0" borderId="0" xfId="0" applyNumberFormat="1" applyFont="1" applyBorder="1" applyAlignment="1" applyProtection="1">
      <alignment horizontal="right" vertical="center"/>
    </xf>
    <xf numFmtId="3" fontId="11" fillId="0" borderId="0" xfId="0" applyNumberFormat="1" applyFont="1" applyBorder="1" applyProtection="1">
      <alignment vertical="center"/>
    </xf>
    <xf numFmtId="0" fontId="11" fillId="0" borderId="0" xfId="0" applyFont="1" applyBorder="1" applyAlignment="1" applyProtection="1">
      <alignment horizontal="right" vertical="center"/>
    </xf>
    <xf numFmtId="0" fontId="11" fillId="0" borderId="0" xfId="0" applyNumberFormat="1" applyFont="1" applyProtection="1">
      <alignment vertical="center"/>
    </xf>
    <xf numFmtId="0" fontId="11" fillId="0" borderId="0" xfId="1" applyFont="1" applyProtection="1">
      <alignment vertical="center"/>
    </xf>
    <xf numFmtId="0" fontId="11" fillId="0" borderId="0" xfId="1" applyFont="1" applyAlignment="1" applyProtection="1">
      <alignment horizontal="center" vertical="center"/>
    </xf>
    <xf numFmtId="49" fontId="11" fillId="0" borderId="0" xfId="1" applyNumberFormat="1" applyFont="1" applyProtection="1">
      <alignment vertical="center"/>
    </xf>
    <xf numFmtId="0" fontId="11" fillId="2" borderId="0" xfId="0" applyFont="1" applyFill="1" applyProtection="1">
      <alignment vertical="center"/>
    </xf>
    <xf numFmtId="0" fontId="11" fillId="2" borderId="0" xfId="0" applyFont="1" applyFill="1" applyAlignment="1" applyProtection="1">
      <alignment horizontal="right" vertical="center"/>
    </xf>
    <xf numFmtId="14" fontId="11" fillId="0" borderId="0" xfId="0" applyNumberFormat="1" applyFont="1" applyFill="1" applyProtection="1">
      <alignment vertical="center"/>
      <protection locked="0"/>
    </xf>
    <xf numFmtId="49" fontId="7" fillId="0" borderId="0" xfId="1" applyNumberFormat="1" applyFont="1" applyAlignment="1" applyProtection="1">
      <alignment vertical="center" wrapText="1"/>
    </xf>
    <xf numFmtId="49" fontId="11" fillId="0" borderId="0" xfId="0" applyNumberFormat="1" applyFont="1" applyFill="1" applyProtection="1">
      <alignment vertical="center"/>
      <protection locked="0"/>
    </xf>
    <xf numFmtId="181" fontId="11" fillId="0" borderId="0" xfId="0" applyNumberFormat="1" applyFont="1" applyFill="1" applyProtection="1">
      <alignment vertical="center"/>
      <protection locked="0"/>
    </xf>
    <xf numFmtId="0" fontId="11" fillId="2" borderId="0" xfId="0" applyFont="1" applyFill="1" applyAlignment="1" applyProtection="1">
      <alignment horizontal="center" vertical="center"/>
    </xf>
    <xf numFmtId="0" fontId="11" fillId="2" borderId="0" xfId="0" applyFont="1" applyFill="1" applyAlignment="1" applyProtection="1">
      <alignment horizontal="left" vertical="center" indent="1"/>
    </xf>
    <xf numFmtId="0" fontId="11" fillId="0" borderId="0" xfId="1" applyFont="1" applyAlignment="1" applyProtection="1">
      <alignment horizontal="left" vertical="center" indent="1"/>
    </xf>
    <xf numFmtId="0" fontId="13" fillId="0" borderId="0" xfId="0" applyFont="1" applyAlignment="1">
      <alignment horizontal="center" vertical="center" textRotation="255"/>
    </xf>
    <xf numFmtId="183" fontId="13" fillId="0" borderId="0" xfId="0" applyNumberFormat="1" applyFont="1" applyAlignment="1">
      <alignment horizontal="center" vertical="center"/>
    </xf>
    <xf numFmtId="0" fontId="13" fillId="0" borderId="25" xfId="0" applyFont="1" applyBorder="1" applyAlignment="1">
      <alignment horizontal="center" vertical="center" textRotation="255"/>
    </xf>
    <xf numFmtId="0" fontId="13" fillId="0" borderId="0" xfId="0" applyFont="1" applyAlignment="1">
      <alignment vertical="center"/>
    </xf>
    <xf numFmtId="49" fontId="11" fillId="0" borderId="0" xfId="0" applyNumberFormat="1" applyFont="1" applyProtection="1">
      <alignment vertical="center"/>
      <protection locked="0"/>
    </xf>
    <xf numFmtId="182" fontId="11" fillId="0" borderId="0" xfId="0" applyNumberFormat="1" applyFont="1" applyProtection="1">
      <alignment vertical="center"/>
      <protection locked="0"/>
    </xf>
    <xf numFmtId="0" fontId="3" fillId="0" borderId="0" xfId="1" applyNumberFormat="1" applyFont="1" applyAlignment="1" applyProtection="1">
      <alignment horizontal="center" vertical="center"/>
    </xf>
    <xf numFmtId="0" fontId="13" fillId="0" borderId="0" xfId="0" applyFont="1" applyBorder="1" applyAlignment="1">
      <alignment horizontal="center" vertical="center" textRotation="255"/>
    </xf>
    <xf numFmtId="0" fontId="13" fillId="0" borderId="0" xfId="0" applyFont="1" applyBorder="1" applyAlignment="1">
      <alignment vertical="center" textRotation="255"/>
    </xf>
    <xf numFmtId="0" fontId="14" fillId="0" borderId="0" xfId="0" applyFont="1" applyBorder="1" applyAlignment="1">
      <alignment wrapText="1"/>
    </xf>
    <xf numFmtId="0" fontId="13" fillId="0" borderId="0" xfId="0" applyNumberFormat="1" applyFont="1" applyBorder="1" applyAlignment="1">
      <alignment horizontal="center" textRotation="255"/>
    </xf>
    <xf numFmtId="0" fontId="15" fillId="0" borderId="24" xfId="1" applyNumberFormat="1" applyFont="1" applyBorder="1" applyAlignment="1" applyProtection="1">
      <alignment textRotation="180"/>
    </xf>
    <xf numFmtId="0" fontId="4" fillId="0" borderId="0" xfId="0" applyFont="1" applyBorder="1" applyAlignment="1">
      <alignment vertical="center"/>
    </xf>
    <xf numFmtId="0" fontId="8" fillId="0" borderId="0" xfId="0" applyNumberFormat="1" applyFont="1" applyBorder="1" applyAlignment="1">
      <alignment vertical="center"/>
    </xf>
    <xf numFmtId="0" fontId="13" fillId="0" borderId="19" xfId="0" applyFont="1" applyBorder="1" applyAlignment="1">
      <alignment vertical="center" textRotation="255"/>
    </xf>
    <xf numFmtId="0" fontId="3" fillId="0" borderId="18" xfId="0" applyNumberFormat="1" applyFont="1" applyBorder="1" applyAlignment="1">
      <alignment horizontal="center" vertical="center"/>
    </xf>
    <xf numFmtId="0" fontId="17" fillId="0" borderId="14" xfId="0" applyFont="1" applyBorder="1" applyAlignment="1">
      <alignment horizontal="center" vertical="center"/>
    </xf>
    <xf numFmtId="49" fontId="13" fillId="0" borderId="28" xfId="1" applyNumberFormat="1" applyFont="1" applyBorder="1" applyAlignment="1" applyProtection="1">
      <alignment horizontal="center" vertical="center" textRotation="255"/>
    </xf>
    <xf numFmtId="0" fontId="13" fillId="0" borderId="28" xfId="0" applyFont="1" applyBorder="1" applyAlignment="1">
      <alignment horizontal="center" vertical="center" textRotation="255"/>
    </xf>
    <xf numFmtId="0" fontId="14" fillId="0" borderId="28" xfId="0" applyFont="1" applyBorder="1" applyAlignment="1">
      <alignment wrapText="1"/>
    </xf>
    <xf numFmtId="49" fontId="7" fillId="0" borderId="0" xfId="1" applyNumberFormat="1" applyFont="1" applyAlignment="1" applyProtection="1">
      <alignment horizontal="center" vertical="center"/>
    </xf>
    <xf numFmtId="49" fontId="6" fillId="0" borderId="0" xfId="1" applyNumberFormat="1" applyFont="1" applyAlignment="1" applyProtection="1">
      <alignment horizontal="center" vertical="center"/>
    </xf>
    <xf numFmtId="0" fontId="6" fillId="0" borderId="0" xfId="1" applyNumberFormat="1" applyFont="1" applyAlignment="1" applyProtection="1">
      <alignment horizontal="center" vertical="center"/>
    </xf>
    <xf numFmtId="0" fontId="8" fillId="0" borderId="0" xfId="1" applyNumberFormat="1" applyFont="1" applyAlignment="1" applyProtection="1">
      <alignment horizontal="center" vertical="center"/>
    </xf>
    <xf numFmtId="178" fontId="9" fillId="0" borderId="0" xfId="1" applyNumberFormat="1" applyFont="1" applyAlignment="1" applyProtection="1">
      <alignment horizontal="center" vertical="center"/>
    </xf>
    <xf numFmtId="0" fontId="6" fillId="0" borderId="0" xfId="1" applyNumberFormat="1" applyFont="1" applyAlignment="1" applyProtection="1">
      <alignment horizontal="center" vertical="center"/>
    </xf>
    <xf numFmtId="0" fontId="5" fillId="0" borderId="0" xfId="1" applyNumberFormat="1" applyFont="1" applyAlignment="1" applyProtection="1">
      <alignment horizontal="center" vertical="center"/>
    </xf>
    <xf numFmtId="0" fontId="18" fillId="0" borderId="0" xfId="1" applyNumberFormat="1" applyFont="1" applyAlignment="1" applyProtection="1">
      <alignment horizontal="center" vertical="center"/>
    </xf>
    <xf numFmtId="0" fontId="5" fillId="0" borderId="0" xfId="1" applyNumberFormat="1" applyFont="1" applyAlignment="1" applyProtection="1"/>
    <xf numFmtId="49" fontId="6" fillId="0" borderId="0" xfId="1" applyNumberFormat="1" applyFont="1" applyAlignment="1" applyProtection="1">
      <alignment horizontal="center"/>
    </xf>
    <xf numFmtId="0" fontId="18" fillId="0" borderId="0" xfId="1" applyNumberFormat="1" applyFont="1" applyAlignment="1" applyProtection="1">
      <alignment horizontal="center"/>
    </xf>
    <xf numFmtId="49" fontId="4" fillId="0" borderId="1" xfId="1" applyNumberFormat="1" applyFont="1" applyBorder="1" applyAlignment="1" applyProtection="1">
      <alignment horizontal="center" vertical="center"/>
    </xf>
    <xf numFmtId="0" fontId="5" fillId="0" borderId="1" xfId="1" applyNumberFormat="1" applyFont="1" applyBorder="1" applyAlignment="1" applyProtection="1">
      <alignment horizontal="center" vertical="center"/>
    </xf>
    <xf numFmtId="0" fontId="2" fillId="0" borderId="0" xfId="0" applyFont="1" applyBorder="1" applyProtection="1">
      <alignment vertical="center"/>
    </xf>
    <xf numFmtId="49" fontId="6" fillId="0" borderId="0" xfId="1" applyNumberFormat="1" applyFont="1" applyAlignment="1" applyProtection="1">
      <alignment horizontal="center" vertical="center"/>
    </xf>
    <xf numFmtId="0" fontId="16" fillId="0" borderId="22" xfId="0" applyNumberFormat="1" applyFont="1" applyBorder="1" applyAlignment="1">
      <alignment horizontal="right" textRotation="180"/>
    </xf>
    <xf numFmtId="0" fontId="16" fillId="0" borderId="22" xfId="0" applyNumberFormat="1" applyFont="1" applyBorder="1" applyAlignment="1">
      <alignment horizontal="left" textRotation="180"/>
    </xf>
    <xf numFmtId="0" fontId="15" fillId="0" borderId="20" xfId="0" applyFont="1" applyBorder="1" applyAlignment="1">
      <alignment horizontal="left" vertical="center" textRotation="180"/>
    </xf>
    <xf numFmtId="0" fontId="2" fillId="0" borderId="0" xfId="0" applyFont="1" applyBorder="1" applyAlignment="1" applyProtection="1"/>
    <xf numFmtId="49" fontId="18" fillId="0" borderId="0" xfId="1" applyNumberFormat="1" applyFont="1" applyBorder="1" applyAlignment="1" applyProtection="1">
      <alignment horizontal="center"/>
    </xf>
    <xf numFmtId="49" fontId="5" fillId="0" borderId="1" xfId="1" applyNumberFormat="1" applyFont="1" applyBorder="1" applyAlignment="1" applyProtection="1">
      <alignment horizontal="center" vertical="center"/>
    </xf>
    <xf numFmtId="49" fontId="7" fillId="0" borderId="0" xfId="1" applyNumberFormat="1" applyFont="1" applyAlignment="1" applyProtection="1">
      <alignment horizontal="center" vertical="center"/>
    </xf>
    <xf numFmtId="0" fontId="7" fillId="0" borderId="0" xfId="1" applyNumberFormat="1" applyFont="1" applyAlignment="1" applyProtection="1">
      <alignment horizontal="center" vertical="center"/>
    </xf>
    <xf numFmtId="49" fontId="6" fillId="0" borderId="0" xfId="1" applyNumberFormat="1" applyFont="1" applyAlignment="1" applyProtection="1">
      <alignment horizontal="center" vertical="center"/>
    </xf>
    <xf numFmtId="0" fontId="6" fillId="0" borderId="0" xfId="1" applyNumberFormat="1" applyFont="1" applyAlignment="1" applyProtection="1">
      <alignment horizontal="center" vertical="center"/>
    </xf>
    <xf numFmtId="49" fontId="6" fillId="0" borderId="0" xfId="1" applyNumberFormat="1" applyFont="1" applyAlignment="1" applyProtection="1">
      <alignment horizontal="center" vertical="top"/>
    </xf>
    <xf numFmtId="0" fontId="9" fillId="0" borderId="0" xfId="1" applyNumberFormat="1" applyFont="1" applyAlignment="1" applyProtection="1">
      <alignment vertical="center"/>
    </xf>
    <xf numFmtId="178" fontId="9" fillId="0" borderId="0" xfId="1" applyNumberFormat="1" applyFont="1" applyAlignment="1" applyProtection="1"/>
    <xf numFmtId="0" fontId="7" fillId="0" borderId="0" xfId="2" applyFont="1" applyAlignment="1">
      <alignment horizontal="left" vertical="top"/>
    </xf>
    <xf numFmtId="0" fontId="7" fillId="0" borderId="0" xfId="0" applyFont="1">
      <alignment vertical="center"/>
    </xf>
    <xf numFmtId="0" fontId="7" fillId="0" borderId="0" xfId="2" applyFont="1">
      <alignment vertical="center"/>
    </xf>
    <xf numFmtId="0" fontId="7" fillId="0" borderId="0" xfId="2" applyFont="1" applyAlignment="1">
      <alignment horizontal="right" vertical="center"/>
    </xf>
    <xf numFmtId="0" fontId="7" fillId="0" borderId="0" xfId="2" applyFont="1" applyAlignment="1">
      <alignment vertical="center"/>
    </xf>
    <xf numFmtId="180" fontId="5" fillId="0" borderId="0" xfId="2" applyNumberFormat="1" applyFont="1" applyAlignment="1">
      <alignment horizontal="center" textRotation="255"/>
    </xf>
    <xf numFmtId="49" fontId="5" fillId="0" borderId="0" xfId="2" applyNumberFormat="1" applyFont="1" applyAlignment="1">
      <alignment vertical="top" textRotation="255" wrapText="1" indent="6"/>
    </xf>
    <xf numFmtId="0" fontId="4" fillId="0" borderId="0" xfId="2" applyFont="1" applyAlignment="1">
      <alignment vertical="center" textRotation="255"/>
    </xf>
    <xf numFmtId="0" fontId="4" fillId="0" borderId="0" xfId="2" applyNumberFormat="1" applyFont="1" applyAlignment="1">
      <alignment horizontal="center" vertical="top" textRotation="255" indent="5"/>
    </xf>
    <xf numFmtId="0" fontId="8" fillId="0" borderId="0" xfId="2" applyFont="1" applyAlignment="1"/>
    <xf numFmtId="0" fontId="8" fillId="0" borderId="0" xfId="2" applyFont="1" applyAlignment="1">
      <alignment horizontal="center"/>
    </xf>
    <xf numFmtId="0" fontId="2" fillId="0" borderId="0" xfId="2" applyNumberFormat="1" applyFont="1" applyAlignment="1">
      <alignment horizontal="center" vertical="top"/>
    </xf>
    <xf numFmtId="0" fontId="2" fillId="0" borderId="0" xfId="2" applyNumberFormat="1" applyFont="1" applyAlignment="1">
      <alignment horizontal="center" vertical="top" textRotation="255"/>
    </xf>
    <xf numFmtId="179" fontId="8" fillId="0" borderId="0" xfId="2" applyNumberFormat="1" applyFont="1" applyAlignment="1">
      <alignment horizontal="center" textRotation="255"/>
    </xf>
    <xf numFmtId="0" fontId="2" fillId="0" borderId="0" xfId="2" applyNumberFormat="1" applyFont="1" applyAlignment="1" applyProtection="1">
      <alignment horizontal="center" vertical="top" textRotation="255"/>
    </xf>
    <xf numFmtId="0" fontId="8" fillId="0" borderId="0" xfId="2" applyNumberFormat="1" applyFont="1" applyAlignment="1">
      <alignment horizontal="left" vertical="top" textRotation="255"/>
    </xf>
    <xf numFmtId="0" fontId="8" fillId="0" borderId="0" xfId="2" applyNumberFormat="1" applyFont="1" applyAlignment="1" applyProtection="1">
      <alignment vertical="center" textRotation="255"/>
    </xf>
    <xf numFmtId="0" fontId="8" fillId="0" borderId="0" xfId="2" applyNumberFormat="1" applyFont="1" applyAlignment="1">
      <alignment horizontal="center" vertical="center" textRotation="255"/>
    </xf>
    <xf numFmtId="0" fontId="8" fillId="0" borderId="0" xfId="2" applyNumberFormat="1" applyFont="1" applyAlignment="1">
      <alignment horizontal="center" vertical="center"/>
    </xf>
    <xf numFmtId="0" fontId="8" fillId="0" borderId="0" xfId="2" applyFont="1" applyAlignment="1">
      <alignment horizontal="left" vertical="top"/>
    </xf>
    <xf numFmtId="0" fontId="8" fillId="0" borderId="0" xfId="2" applyFont="1" applyAlignment="1">
      <alignment horizontal="center" vertical="center"/>
    </xf>
    <xf numFmtId="49" fontId="8" fillId="0" borderId="0" xfId="2" applyNumberFormat="1" applyFont="1" applyAlignment="1">
      <alignment horizontal="center" vertical="center" textRotation="255"/>
    </xf>
    <xf numFmtId="0" fontId="8" fillId="0" borderId="0" xfId="2" applyFont="1" applyAlignment="1">
      <alignment horizontal="right" vertical="center"/>
    </xf>
    <xf numFmtId="0" fontId="20" fillId="0" borderId="0" xfId="2" applyFont="1" applyAlignment="1">
      <alignment vertical="top" textRotation="180"/>
    </xf>
    <xf numFmtId="0" fontId="20" fillId="0" borderId="0" xfId="2" applyFont="1" applyAlignment="1">
      <alignment vertical="distributed" textRotation="180"/>
    </xf>
    <xf numFmtId="0" fontId="20" fillId="0" borderId="0" xfId="2" applyFont="1" applyAlignment="1">
      <alignment horizontal="center" textRotation="180"/>
    </xf>
    <xf numFmtId="0" fontId="22" fillId="0" borderId="0" xfId="2" applyNumberFormat="1" applyFont="1" applyAlignment="1">
      <alignment horizontal="center" vertical="top" textRotation="180"/>
    </xf>
    <xf numFmtId="179" fontId="24" fillId="0" borderId="0" xfId="2" applyNumberFormat="1" applyFont="1" applyAlignment="1">
      <alignment horizontal="center" textRotation="180"/>
    </xf>
    <xf numFmtId="179" fontId="25" fillId="0" borderId="0" xfId="2" applyNumberFormat="1" applyFont="1" applyAlignment="1">
      <alignment horizontal="center" textRotation="180"/>
    </xf>
    <xf numFmtId="49" fontId="24" fillId="0" borderId="0" xfId="2" applyNumberFormat="1" applyFont="1" applyAlignment="1">
      <alignment horizontal="center" textRotation="180"/>
    </xf>
    <xf numFmtId="0" fontId="24" fillId="0" borderId="0" xfId="2" applyNumberFormat="1" applyFont="1" applyAlignment="1">
      <alignment horizontal="center" textRotation="180"/>
    </xf>
    <xf numFmtId="49" fontId="24" fillId="0" borderId="0" xfId="2" applyNumberFormat="1" applyFont="1" applyAlignment="1">
      <alignment horizontal="center" vertical="top" textRotation="180"/>
    </xf>
    <xf numFmtId="0" fontId="9" fillId="0" borderId="0" xfId="0" applyFont="1" applyAlignment="1" applyProtection="1"/>
    <xf numFmtId="49" fontId="6" fillId="0" borderId="0" xfId="1" applyNumberFormat="1" applyFont="1" applyAlignment="1" applyProtection="1">
      <alignment horizontal="center" vertical="center"/>
    </xf>
    <xf numFmtId="0" fontId="6" fillId="0" borderId="0" xfId="1" applyNumberFormat="1" applyFont="1" applyAlignment="1" applyProtection="1">
      <alignment horizontal="center" vertical="center"/>
    </xf>
    <xf numFmtId="49" fontId="7" fillId="0" borderId="0" xfId="1" applyNumberFormat="1" applyFont="1" applyAlignment="1" applyProtection="1">
      <alignment horizontal="left" indent="1"/>
    </xf>
    <xf numFmtId="49" fontId="7" fillId="0" borderId="0" xfId="1" applyNumberFormat="1" applyFont="1" applyAlignment="1" applyProtection="1">
      <alignment horizontal="center" vertical="center" wrapText="1"/>
    </xf>
    <xf numFmtId="178" fontId="9" fillId="0" borderId="0" xfId="1" applyNumberFormat="1" applyFont="1" applyAlignment="1" applyProtection="1">
      <alignment vertical="center"/>
    </xf>
    <xf numFmtId="49" fontId="7" fillId="0" borderId="0" xfId="1" applyNumberFormat="1" applyFont="1" applyProtection="1">
      <alignment vertical="center"/>
    </xf>
    <xf numFmtId="0" fontId="9" fillId="0" borderId="0" xfId="1" applyNumberFormat="1" applyFont="1" applyBorder="1" applyAlignment="1" applyProtection="1">
      <alignment vertical="center"/>
    </xf>
    <xf numFmtId="0" fontId="26" fillId="0" borderId="0" xfId="1" applyNumberFormat="1" applyFont="1" applyAlignment="1" applyProtection="1">
      <alignment horizontal="left" vertical="center" indent="1"/>
    </xf>
    <xf numFmtId="49" fontId="9" fillId="0" borderId="0" xfId="1" applyNumberFormat="1" applyFont="1" applyBorder="1" applyAlignment="1" applyProtection="1">
      <alignment horizontal="center" vertical="center"/>
    </xf>
    <xf numFmtId="49" fontId="7" fillId="0" borderId="0" xfId="1" applyNumberFormat="1" applyFont="1" applyAlignment="1" applyProtection="1"/>
    <xf numFmtId="49" fontId="7" fillId="0" borderId="0" xfId="1" applyNumberFormat="1" applyFont="1" applyAlignment="1" applyProtection="1">
      <alignment horizontal="left"/>
    </xf>
    <xf numFmtId="49" fontId="27" fillId="0" borderId="0" xfId="1" applyNumberFormat="1" applyFont="1" applyAlignment="1" applyProtection="1">
      <alignment horizontal="center" vertical="center" wrapText="1"/>
    </xf>
    <xf numFmtId="0" fontId="11" fillId="0" borderId="0" xfId="0" applyFont="1" applyProtection="1">
      <alignment vertical="center"/>
      <protection locked="0"/>
    </xf>
    <xf numFmtId="0" fontId="7" fillId="0" borderId="0" xfId="1" applyNumberFormat="1" applyFont="1" applyAlignment="1" applyProtection="1">
      <alignment horizontal="center"/>
    </xf>
    <xf numFmtId="0" fontId="11" fillId="2" borderId="0" xfId="0" applyFont="1" applyFill="1" applyAlignment="1" applyProtection="1">
      <alignment horizontal="left" vertical="center" indent="1"/>
      <protection locked="0"/>
    </xf>
    <xf numFmtId="49" fontId="11" fillId="0" borderId="0" xfId="0" applyNumberFormat="1" applyFont="1" applyAlignment="1" applyProtection="1">
      <alignment vertical="center" wrapText="1"/>
      <protection locked="0"/>
    </xf>
    <xf numFmtId="0" fontId="11" fillId="2" borderId="0" xfId="0" applyFont="1" applyFill="1" applyAlignment="1" applyProtection="1">
      <alignment horizontal="center" vertical="center"/>
    </xf>
    <xf numFmtId="0" fontId="12" fillId="0" borderId="15" xfId="0" applyNumberFormat="1" applyFont="1" applyBorder="1" applyAlignment="1" applyProtection="1">
      <alignment horizontal="center" vertical="center"/>
    </xf>
    <xf numFmtId="0" fontId="12" fillId="0" borderId="16" xfId="0" applyNumberFormat="1" applyFont="1" applyBorder="1" applyAlignment="1" applyProtection="1">
      <alignment horizontal="center" vertical="center"/>
    </xf>
    <xf numFmtId="0" fontId="12" fillId="0" borderId="17" xfId="0" applyNumberFormat="1" applyFont="1" applyBorder="1" applyAlignment="1" applyProtection="1">
      <alignment horizontal="center" vertical="center"/>
    </xf>
    <xf numFmtId="0" fontId="23" fillId="0" borderId="0" xfId="2" applyFont="1" applyAlignment="1">
      <alignment horizontal="center" vertical="center" textRotation="180"/>
    </xf>
    <xf numFmtId="0" fontId="19" fillId="0" borderId="0" xfId="2" applyFont="1" applyAlignment="1">
      <alignment horizontal="right" vertical="center" textRotation="180"/>
    </xf>
    <xf numFmtId="0" fontId="28" fillId="0" borderId="0" xfId="2" applyFont="1" applyAlignment="1">
      <alignment horizontal="center" vertical="center" textRotation="180"/>
    </xf>
    <xf numFmtId="180" fontId="22" fillId="0" borderId="0" xfId="2" applyNumberFormat="1" applyFont="1" applyAlignment="1">
      <alignment horizontal="center" textRotation="180"/>
    </xf>
    <xf numFmtId="0" fontId="22" fillId="0" borderId="0" xfId="2" applyNumberFormat="1" applyFont="1" applyAlignment="1">
      <alignment horizontal="center" vertical="center" textRotation="180" wrapText="1"/>
    </xf>
    <xf numFmtId="49" fontId="21" fillId="0" borderId="0" xfId="2" applyNumberFormat="1" applyFont="1" applyAlignment="1">
      <alignment horizontal="center" vertical="center" textRotation="180" wrapText="1"/>
    </xf>
    <xf numFmtId="0" fontId="22" fillId="0" borderId="0" xfId="2" applyNumberFormat="1" applyFont="1" applyAlignment="1">
      <alignment horizontal="center" textRotation="180" wrapText="1"/>
    </xf>
    <xf numFmtId="177" fontId="2" fillId="0" borderId="0" xfId="0" applyNumberFormat="1" applyFont="1" applyAlignment="1" applyProtection="1">
      <alignment horizontal="left" vertical="center" indent="1"/>
    </xf>
    <xf numFmtId="0" fontId="2" fillId="0" borderId="0" xfId="0" applyNumberFormat="1" applyFont="1" applyBorder="1" applyAlignment="1" applyProtection="1">
      <alignment horizontal="right" indent="2"/>
    </xf>
    <xf numFmtId="0" fontId="9" fillId="0" borderId="0" xfId="0" applyFont="1" applyAlignment="1" applyProtection="1">
      <alignment horizontal="right"/>
    </xf>
    <xf numFmtId="176" fontId="5" fillId="0" borderId="0" xfId="0" applyNumberFormat="1" applyFont="1" applyAlignment="1" applyProtection="1">
      <alignment horizontal="left" vertical="center" indent="4"/>
    </xf>
    <xf numFmtId="0" fontId="2" fillId="0" borderId="0" xfId="0" applyFont="1" applyAlignment="1" applyProtection="1">
      <alignment horizontal="left" indent="2"/>
    </xf>
    <xf numFmtId="0" fontId="2" fillId="0" borderId="29" xfId="0" applyFont="1" applyBorder="1" applyAlignment="1" applyProtection="1">
      <alignment horizontal="right"/>
    </xf>
    <xf numFmtId="176" fontId="5" fillId="0" borderId="0" xfId="0" applyNumberFormat="1" applyFont="1" applyAlignment="1" applyProtection="1">
      <alignment horizontal="center" vertical="center"/>
    </xf>
    <xf numFmtId="177" fontId="2" fillId="0" borderId="0" xfId="0" applyNumberFormat="1" applyFont="1" applyAlignment="1" applyProtection="1">
      <alignment horizontal="center" vertical="center"/>
    </xf>
    <xf numFmtId="0" fontId="2" fillId="0" borderId="0" xfId="0" applyFont="1" applyAlignment="1" applyProtection="1">
      <alignment horizontal="right" indent="2"/>
    </xf>
    <xf numFmtId="0" fontId="2" fillId="0" borderId="29" xfId="0" applyNumberFormat="1" applyFont="1" applyBorder="1" applyAlignment="1" applyProtection="1">
      <alignment horizontal="left"/>
    </xf>
    <xf numFmtId="177" fontId="2" fillId="0" borderId="0" xfId="0" applyNumberFormat="1" applyFont="1" applyAlignment="1" applyProtection="1">
      <alignment horizontal="left" vertical="center"/>
    </xf>
    <xf numFmtId="0" fontId="2" fillId="0" borderId="0" xfId="0" applyFont="1" applyAlignment="1" applyProtection="1">
      <alignment horizontal="left"/>
    </xf>
    <xf numFmtId="176" fontId="5" fillId="0" borderId="0" xfId="0" applyNumberFormat="1" applyFont="1" applyAlignment="1" applyProtection="1">
      <alignment horizontal="left" vertical="center" indent="3"/>
    </xf>
    <xf numFmtId="0" fontId="2" fillId="0" borderId="29" xfId="0" applyNumberFormat="1" applyFont="1" applyBorder="1" applyAlignment="1" applyProtection="1">
      <alignment horizontal="left" indent="1"/>
    </xf>
    <xf numFmtId="0" fontId="2" fillId="0" borderId="0" xfId="0" applyFont="1" applyAlignment="1" applyProtection="1">
      <alignment horizontal="center"/>
    </xf>
    <xf numFmtId="49" fontId="7" fillId="0" borderId="0" xfId="1" applyNumberFormat="1" applyFont="1" applyAlignment="1" applyProtection="1">
      <alignment horizontal="center" vertical="center"/>
    </xf>
    <xf numFmtId="0" fontId="7" fillId="0" borderId="0" xfId="1" applyNumberFormat="1" applyFont="1" applyAlignment="1" applyProtection="1">
      <alignment horizontal="center" vertical="center"/>
    </xf>
    <xf numFmtId="49" fontId="9" fillId="0" borderId="0" xfId="1" applyNumberFormat="1" applyFont="1" applyAlignment="1" applyProtection="1">
      <alignment horizontal="right" vertical="center" wrapText="1" indent="2"/>
    </xf>
    <xf numFmtId="0" fontId="9" fillId="0" borderId="0" xfId="1" applyNumberFormat="1" applyFont="1" applyAlignment="1" applyProtection="1">
      <alignment horizontal="right" vertical="center" wrapText="1" indent="2"/>
    </xf>
    <xf numFmtId="49" fontId="9" fillId="0" borderId="0" xfId="1" applyNumberFormat="1" applyFont="1" applyAlignment="1" applyProtection="1">
      <alignment horizontal="left" vertical="center"/>
    </xf>
    <xf numFmtId="0" fontId="9" fillId="0" borderId="0" xfId="1" applyNumberFormat="1" applyFont="1" applyAlignment="1" applyProtection="1">
      <alignment horizontal="left" vertical="center"/>
    </xf>
    <xf numFmtId="49" fontId="9" fillId="0" borderId="0" xfId="1" applyNumberFormat="1" applyFont="1" applyAlignment="1" applyProtection="1">
      <alignment horizontal="right" vertical="center" wrapText="1"/>
    </xf>
    <xf numFmtId="0" fontId="9" fillId="0" borderId="0" xfId="1" applyNumberFormat="1" applyFont="1" applyAlignment="1" applyProtection="1">
      <alignment horizontal="right" vertical="center" wrapText="1"/>
    </xf>
    <xf numFmtId="49" fontId="6" fillId="0" borderId="0" xfId="1" applyNumberFormat="1" applyFont="1" applyAlignment="1" applyProtection="1">
      <alignment horizontal="center" vertical="center"/>
    </xf>
    <xf numFmtId="0" fontId="6" fillId="0" borderId="0" xfId="1" applyNumberFormat="1" applyFont="1" applyAlignment="1" applyProtection="1">
      <alignment horizontal="center" vertical="center"/>
    </xf>
    <xf numFmtId="49" fontId="8" fillId="0" borderId="0" xfId="1" applyNumberFormat="1" applyFont="1" applyAlignment="1" applyProtection="1">
      <alignment horizontal="center" vertical="center"/>
    </xf>
    <xf numFmtId="0" fontId="8" fillId="0" borderId="0" xfId="1" applyNumberFormat="1" applyFont="1" applyAlignment="1" applyProtection="1">
      <alignment horizontal="center" vertical="center"/>
    </xf>
    <xf numFmtId="178" fontId="9" fillId="0" borderId="0" xfId="1" applyNumberFormat="1" applyFont="1" applyAlignment="1" applyProtection="1">
      <alignment horizontal="left" vertical="center"/>
    </xf>
    <xf numFmtId="49" fontId="7" fillId="0" borderId="15" xfId="1" applyNumberFormat="1" applyFont="1" applyBorder="1" applyAlignment="1" applyProtection="1">
      <alignment horizontal="center" vertical="center" wrapText="1"/>
    </xf>
    <xf numFmtId="0" fontId="7" fillId="0" borderId="17" xfId="1" applyNumberFormat="1" applyFont="1" applyBorder="1" applyAlignment="1" applyProtection="1">
      <alignment horizontal="center" vertical="center" wrapText="1"/>
    </xf>
    <xf numFmtId="0" fontId="2" fillId="0" borderId="0" xfId="1" applyNumberFormat="1" applyFont="1" applyAlignment="1" applyProtection="1">
      <alignment horizontal="center" vertical="center"/>
    </xf>
    <xf numFmtId="178" fontId="9" fillId="0" borderId="0" xfId="1" applyNumberFormat="1" applyFont="1" applyAlignment="1" applyProtection="1">
      <alignment horizontal="center" vertical="center"/>
    </xf>
    <xf numFmtId="49" fontId="7" fillId="0" borderId="0" xfId="1" applyNumberFormat="1" applyFont="1" applyAlignment="1" applyProtection="1">
      <alignment horizontal="left" vertical="center"/>
    </xf>
    <xf numFmtId="0" fontId="7" fillId="0" borderId="0" xfId="1" applyNumberFormat="1" applyFont="1" applyAlignment="1" applyProtection="1">
      <alignment horizontal="left" vertical="center"/>
    </xf>
    <xf numFmtId="49" fontId="9" fillId="0" borderId="0" xfId="1" applyNumberFormat="1" applyFont="1" applyAlignment="1" applyProtection="1">
      <alignment horizontal="left" vertical="center" indent="1"/>
    </xf>
    <xf numFmtId="49" fontId="7" fillId="0" borderId="0" xfId="1" applyNumberFormat="1" applyFont="1" applyAlignment="1" applyProtection="1">
      <alignment horizontal="right" vertical="center"/>
    </xf>
    <xf numFmtId="0" fontId="7" fillId="0" borderId="0" xfId="1" applyNumberFormat="1" applyFont="1" applyAlignment="1" applyProtection="1">
      <alignment horizontal="right" vertical="center"/>
    </xf>
    <xf numFmtId="49" fontId="9" fillId="0" borderId="0" xfId="1" applyNumberFormat="1" applyFont="1" applyAlignment="1" applyProtection="1">
      <alignment horizontal="right" vertical="center" wrapText="1" indent="1"/>
    </xf>
    <xf numFmtId="0" fontId="9" fillId="0" borderId="0" xfId="1" applyNumberFormat="1" applyFont="1" applyAlignment="1" applyProtection="1">
      <alignment horizontal="right" vertical="center" wrapText="1" indent="1"/>
    </xf>
    <xf numFmtId="0" fontId="5" fillId="0" borderId="0" xfId="0" applyNumberFormat="1" applyFont="1" applyAlignment="1">
      <alignment horizontal="center" vertical="top"/>
    </xf>
    <xf numFmtId="0" fontId="4" fillId="0" borderId="0" xfId="0" applyFont="1" applyAlignment="1">
      <alignment horizontal="center" vertical="top" wrapText="1"/>
    </xf>
    <xf numFmtId="0" fontId="10" fillId="0" borderId="13" xfId="0" applyFont="1" applyBorder="1" applyAlignment="1">
      <alignment horizontal="center" vertical="top"/>
    </xf>
    <xf numFmtId="185" fontId="15" fillId="0" borderId="23" xfId="1" applyNumberFormat="1" applyFont="1" applyBorder="1" applyAlignment="1" applyProtection="1">
      <alignment horizontal="right" vertical="top" textRotation="180"/>
    </xf>
    <xf numFmtId="185" fontId="15" fillId="0" borderId="27" xfId="1" applyNumberFormat="1" applyFont="1" applyBorder="1" applyAlignment="1" applyProtection="1">
      <alignment horizontal="right" vertical="top" textRotation="180"/>
    </xf>
    <xf numFmtId="0" fontId="16" fillId="0" borderId="0" xfId="1" applyNumberFormat="1" applyFont="1" applyBorder="1" applyAlignment="1" applyProtection="1">
      <alignment horizontal="right" vertical="top" textRotation="180"/>
    </xf>
    <xf numFmtId="0" fontId="16" fillId="0" borderId="20" xfId="1" applyNumberFormat="1" applyFont="1" applyBorder="1" applyAlignment="1" applyProtection="1">
      <alignment horizontal="right" vertical="top" textRotation="180"/>
    </xf>
    <xf numFmtId="0" fontId="16" fillId="0" borderId="0" xfId="1" applyNumberFormat="1" applyFont="1" applyBorder="1" applyAlignment="1" applyProtection="1">
      <alignment horizontal="left" vertical="top" textRotation="180"/>
    </xf>
    <xf numFmtId="0" fontId="16" fillId="0" borderId="20" xfId="1" applyNumberFormat="1" applyFont="1" applyBorder="1" applyAlignment="1" applyProtection="1">
      <alignment horizontal="left" vertical="top" textRotation="180"/>
    </xf>
    <xf numFmtId="0" fontId="15" fillId="0" borderId="21" xfId="1" applyNumberFormat="1" applyFont="1" applyBorder="1" applyAlignment="1" applyProtection="1">
      <alignment horizontal="center" textRotation="180"/>
    </xf>
    <xf numFmtId="0" fontId="15" fillId="0" borderId="26" xfId="1" applyNumberFormat="1" applyFont="1" applyBorder="1" applyAlignment="1" applyProtection="1">
      <alignment horizontal="center" textRotation="180"/>
    </xf>
    <xf numFmtId="184" fontId="15" fillId="0" borderId="22" xfId="1" applyNumberFormat="1" applyFont="1" applyBorder="1" applyAlignment="1" applyProtection="1">
      <alignment horizontal="left" textRotation="180"/>
    </xf>
    <xf numFmtId="184" fontId="15" fillId="0" borderId="0" xfId="1" applyNumberFormat="1" applyFont="1" applyBorder="1" applyAlignment="1" applyProtection="1">
      <alignment horizontal="left" textRotation="180"/>
    </xf>
    <xf numFmtId="49" fontId="9" fillId="0" borderId="20" xfId="1" applyNumberFormat="1" applyFont="1" applyBorder="1" applyAlignment="1" applyProtection="1">
      <alignment horizontal="center" vertical="center"/>
    </xf>
    <xf numFmtId="0" fontId="9" fillId="0" borderId="20" xfId="1" applyNumberFormat="1" applyFont="1" applyBorder="1" applyAlignment="1" applyProtection="1">
      <alignment horizontal="center" vertical="center"/>
    </xf>
    <xf numFmtId="0" fontId="3" fillId="0" borderId="0" xfId="1" applyNumberFormat="1" applyFont="1" applyAlignment="1" applyProtection="1">
      <alignment horizontal="center" vertical="center"/>
    </xf>
    <xf numFmtId="0" fontId="26" fillId="0" borderId="0" xfId="1" applyNumberFormat="1" applyFont="1" applyAlignment="1" applyProtection="1">
      <alignment horizontal="left" vertical="center" indent="1"/>
    </xf>
    <xf numFmtId="0" fontId="2" fillId="0" borderId="0" xfId="1" applyNumberFormat="1" applyFont="1" applyAlignment="1" applyProtection="1">
      <alignment horizontal="left" vertical="center"/>
    </xf>
    <xf numFmtId="49" fontId="7" fillId="0" borderId="0" xfId="1" applyNumberFormat="1" applyFont="1" applyAlignment="1" applyProtection="1">
      <alignment horizontal="left"/>
    </xf>
    <xf numFmtId="49" fontId="7" fillId="0" borderId="0" xfId="1" applyNumberFormat="1" applyFont="1" applyAlignment="1" applyProtection="1">
      <alignment horizontal="center" vertical="center" wrapText="1"/>
    </xf>
    <xf numFmtId="178" fontId="9" fillId="0" borderId="0" xfId="1" applyNumberFormat="1" applyFont="1" applyAlignment="1" applyProtection="1">
      <alignment horizontal="center"/>
    </xf>
    <xf numFmtId="0" fontId="9" fillId="0" borderId="0" xfId="1" applyNumberFormat="1" applyFont="1" applyAlignment="1" applyProtection="1">
      <alignment horizontal="center"/>
    </xf>
    <xf numFmtId="178" fontId="9" fillId="0" borderId="0" xfId="1" applyNumberFormat="1" applyFont="1" applyAlignment="1" applyProtection="1">
      <alignment horizontal="right" indent="4"/>
    </xf>
    <xf numFmtId="178" fontId="9" fillId="0" borderId="0" xfId="1" applyNumberFormat="1" applyFont="1" applyAlignment="1" applyProtection="1">
      <alignment horizontal="right" indent="2"/>
    </xf>
  </cellXfs>
  <cellStyles count="3">
    <cellStyle name="標準" xfId="0" builtinId="0"/>
    <cellStyle name="標準 2" xfId="1" xr:uid="{E91F84FF-6EEA-42CC-9DBD-70B8690BFF1B}"/>
    <cellStyle name="標準 3" xfId="2" xr:uid="{D609131B-0440-4BD0-AE2C-2DD32DE3C612}"/>
  </cellStyles>
  <dxfs count="1">
    <dxf>
      <fill>
        <patternFill>
          <bgColor rgb="FFFFC8C8"/>
        </patternFill>
      </fill>
    </dxf>
  </dxfs>
  <tableStyles count="0" defaultTableStyle="TableStyleMedium2" defaultPivotStyle="PivotStyleLight16"/>
  <colors>
    <mruColors>
      <color rgb="FFFFC8C8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253095</xdr:colOff>
      <xdr:row>3</xdr:row>
      <xdr:rowOff>41502</xdr:rowOff>
    </xdr:from>
    <xdr:to>
      <xdr:col>4</xdr:col>
      <xdr:colOff>1246143</xdr:colOff>
      <xdr:row>11</xdr:row>
      <xdr:rowOff>233982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D27FC40A-15EB-4706-BCCA-78C1A7D9C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4470" y="1246415"/>
          <a:ext cx="2488473" cy="2440380"/>
        </a:xfrm>
        <a:prstGeom prst="rect">
          <a:avLst/>
        </a:prstGeom>
      </xdr:spPr>
    </xdr:pic>
    <xdr:clientData/>
  </xdr:twoCellAnchor>
  <xdr:twoCellAnchor editAs="oneCell">
    <xdr:from>
      <xdr:col>6</xdr:col>
      <xdr:colOff>193950</xdr:colOff>
      <xdr:row>13</xdr:row>
      <xdr:rowOff>106200</xdr:rowOff>
    </xdr:from>
    <xdr:to>
      <xdr:col>8</xdr:col>
      <xdr:colOff>0</xdr:colOff>
      <xdr:row>21</xdr:row>
      <xdr:rowOff>121920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9102587A-80AB-4E0C-9C60-2E186B710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1600" y="4268625"/>
          <a:ext cx="1692000" cy="2256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</xdr:row>
      <xdr:rowOff>103223</xdr:rowOff>
    </xdr:from>
    <xdr:to>
      <xdr:col>1</xdr:col>
      <xdr:colOff>749025</xdr:colOff>
      <xdr:row>21</xdr:row>
      <xdr:rowOff>121920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EEA9B759-7A76-4B0A-B9C7-E42F02B74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65648"/>
          <a:ext cx="1692000" cy="2258977"/>
        </a:xfrm>
        <a:prstGeom prst="rect">
          <a:avLst/>
        </a:prstGeom>
      </xdr:spPr>
    </xdr:pic>
    <xdr:clientData/>
  </xdr:twoCellAnchor>
  <xdr:twoCellAnchor editAs="oneCell">
    <xdr:from>
      <xdr:col>6</xdr:col>
      <xdr:colOff>193950</xdr:colOff>
      <xdr:row>2</xdr:row>
      <xdr:rowOff>0</xdr:rowOff>
    </xdr:from>
    <xdr:to>
      <xdr:col>8</xdr:col>
      <xdr:colOff>0</xdr:colOff>
      <xdr:row>10</xdr:row>
      <xdr:rowOff>257983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9D10E59C-A960-42E1-B092-2435AAAED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1600" y="895350"/>
          <a:ext cx="1692000" cy="261827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1</xdr:col>
      <xdr:colOff>749025</xdr:colOff>
      <xdr:row>6</xdr:row>
      <xdr:rowOff>26940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82311786-E88D-407A-9D8A-77C99FE2D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95350"/>
          <a:ext cx="1692000" cy="1269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</xdr:row>
      <xdr:rowOff>207036</xdr:rowOff>
    </xdr:from>
    <xdr:to>
      <xdr:col>1</xdr:col>
      <xdr:colOff>749025</xdr:colOff>
      <xdr:row>12</xdr:row>
      <xdr:rowOff>76200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F3D67D8-BAE1-42D4-A706-459BFF9D0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78761"/>
          <a:ext cx="1692000" cy="126933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.v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6.v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7.v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8.v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9.v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0.v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1.v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2.vml"/><Relationship Id="rId1" Type="http://schemas.openxmlformats.org/officeDocument/2006/relationships/printerSettings" Target="../printerSettings/printerSettings1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E7CBA9-2FF1-4DAA-8254-86102D3FA68F}">
  <sheetPr>
    <tabColor rgb="FFFF0000"/>
    <pageSetUpPr fitToPage="1"/>
  </sheetPr>
  <dimension ref="B2:E20"/>
  <sheetViews>
    <sheetView view="pageBreakPreview" zoomScaleNormal="100" zoomScaleSheetLayoutView="100" workbookViewId="0"/>
  </sheetViews>
  <sheetFormatPr defaultRowHeight="24"/>
  <cols>
    <col min="1" max="1" width="9" style="33"/>
    <col min="2" max="2" width="5.125" style="33" customWidth="1"/>
    <col min="3" max="3" width="23.625" style="33" customWidth="1"/>
    <col min="4" max="4" width="45.625" style="33" customWidth="1"/>
    <col min="5" max="5" width="15.625" style="33" customWidth="1"/>
    <col min="6" max="16384" width="9" style="33"/>
  </cols>
  <sheetData>
    <row r="2" spans="2:5">
      <c r="B2" s="61"/>
      <c r="C2" s="61"/>
      <c r="D2" s="61"/>
      <c r="E2" s="61"/>
    </row>
    <row r="3" spans="2:5">
      <c r="B3" s="160" t="s">
        <v>140</v>
      </c>
      <c r="C3" s="160"/>
      <c r="D3" s="160"/>
      <c r="E3" s="160"/>
    </row>
    <row r="4" spans="2:5">
      <c r="B4" s="61"/>
      <c r="C4" s="61"/>
      <c r="D4" s="61"/>
      <c r="E4" s="61"/>
    </row>
    <row r="5" spans="2:5">
      <c r="B5" s="60" t="s">
        <v>115</v>
      </c>
      <c r="C5" s="61" t="s">
        <v>105</v>
      </c>
      <c r="D5" s="156" t="s">
        <v>132</v>
      </c>
      <c r="E5" s="61" t="s">
        <v>42</v>
      </c>
    </row>
    <row r="6" spans="2:5">
      <c r="B6" s="60" t="s">
        <v>58</v>
      </c>
      <c r="C6" s="61" t="s">
        <v>106</v>
      </c>
      <c r="D6" s="156" t="s">
        <v>133</v>
      </c>
      <c r="E6" s="61" t="s">
        <v>42</v>
      </c>
    </row>
    <row r="7" spans="2:5">
      <c r="B7" s="60" t="s">
        <v>59</v>
      </c>
      <c r="C7" s="61" t="s">
        <v>108</v>
      </c>
      <c r="D7" s="67" t="s">
        <v>130</v>
      </c>
      <c r="E7" s="61" t="s">
        <v>46</v>
      </c>
    </row>
    <row r="8" spans="2:5">
      <c r="B8" s="60" t="s">
        <v>60</v>
      </c>
      <c r="C8" s="61" t="s">
        <v>113</v>
      </c>
      <c r="D8" s="156" t="s">
        <v>110</v>
      </c>
      <c r="E8" s="61" t="s">
        <v>42</v>
      </c>
    </row>
    <row r="9" spans="2:5">
      <c r="B9" s="60" t="s">
        <v>61</v>
      </c>
      <c r="C9" s="61" t="s">
        <v>114</v>
      </c>
      <c r="D9" s="156" t="s">
        <v>111</v>
      </c>
      <c r="E9" s="61" t="s">
        <v>42</v>
      </c>
    </row>
    <row r="10" spans="2:5">
      <c r="B10" s="60" t="s">
        <v>62</v>
      </c>
      <c r="C10" s="61" t="s">
        <v>109</v>
      </c>
      <c r="D10" s="156" t="s">
        <v>112</v>
      </c>
      <c r="E10" s="61" t="s">
        <v>42</v>
      </c>
    </row>
    <row r="11" spans="2:5">
      <c r="B11" s="60" t="s">
        <v>126</v>
      </c>
      <c r="C11" s="61" t="s">
        <v>128</v>
      </c>
      <c r="D11" s="156" t="s">
        <v>131</v>
      </c>
      <c r="E11" s="61"/>
    </row>
    <row r="12" spans="2:5">
      <c r="B12" s="60" t="s">
        <v>64</v>
      </c>
      <c r="C12" s="61" t="s">
        <v>107</v>
      </c>
      <c r="D12" s="156" t="s">
        <v>129</v>
      </c>
      <c r="E12" s="61" t="s">
        <v>42</v>
      </c>
    </row>
    <row r="13" spans="2:5">
      <c r="B13" s="60"/>
      <c r="C13" s="61"/>
      <c r="D13" s="156"/>
      <c r="E13" s="61"/>
    </row>
    <row r="14" spans="2:5">
      <c r="B14" s="60" t="s">
        <v>65</v>
      </c>
      <c r="C14" s="61" t="s">
        <v>50</v>
      </c>
      <c r="D14" s="58" t="s">
        <v>49</v>
      </c>
      <c r="E14" s="61"/>
    </row>
    <row r="15" spans="2:5">
      <c r="B15" s="60" t="s">
        <v>66</v>
      </c>
      <c r="C15" s="61" t="s">
        <v>16</v>
      </c>
      <c r="D15" s="59">
        <v>526</v>
      </c>
      <c r="E15" s="61" t="s">
        <v>45</v>
      </c>
    </row>
    <row r="16" spans="2:5">
      <c r="B16" s="60" t="s">
        <v>127</v>
      </c>
      <c r="C16" s="61" t="s">
        <v>17</v>
      </c>
      <c r="D16" s="58" t="s">
        <v>89</v>
      </c>
      <c r="E16" s="61" t="s">
        <v>42</v>
      </c>
    </row>
    <row r="17" spans="2:5">
      <c r="B17" s="61"/>
      <c r="C17" s="61"/>
      <c r="D17" s="61"/>
      <c r="E17" s="61"/>
    </row>
    <row r="18" spans="2:5">
      <c r="B18" s="52"/>
      <c r="C18" s="62"/>
      <c r="D18" s="53"/>
      <c r="E18" s="51"/>
    </row>
    <row r="19" spans="2:5" ht="30" customHeight="1">
      <c r="B19" s="52"/>
      <c r="C19" s="62"/>
      <c r="D19" s="155" t="s">
        <v>48</v>
      </c>
      <c r="E19" s="51"/>
    </row>
    <row r="20" spans="2:5" ht="30" customHeight="1">
      <c r="B20" s="52"/>
      <c r="C20" s="62"/>
      <c r="D20" s="155" t="s">
        <v>49</v>
      </c>
      <c r="E20" s="51"/>
    </row>
  </sheetData>
  <sheetProtection sheet="1" objects="1" scenarios="1"/>
  <mergeCells count="1">
    <mergeCell ref="B3:E3"/>
  </mergeCells>
  <phoneticPr fontId="1"/>
  <dataValidations count="1">
    <dataValidation type="list" allowBlank="1" showInputMessage="1" showErrorMessage="1" sqref="D14" xr:uid="{CA18ACE9-3484-46A2-B39D-B5490072EC86}">
      <formula1>$D$19:$D$20</formula1>
    </dataValidation>
  </dataValidations>
  <printOptions horizontalCentered="1"/>
  <pageMargins left="0.39370078740157483" right="0.39370078740157483" top="0.39370078740157483" bottom="0.39370078740157483" header="0" footer="0"/>
  <pageSetup paperSize="9" scale="97" orientation="portrait" horizontalDpi="4294967292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EB201D-3094-4D89-A5CD-8CFCB3F02050}">
  <sheetPr>
    <tabColor rgb="FFFF0000"/>
  </sheetPr>
  <dimension ref="A2:J45"/>
  <sheetViews>
    <sheetView view="pageBreakPreview" zoomScaleNormal="100" zoomScaleSheetLayoutView="100" workbookViewId="0">
      <selection activeCell="I8" sqref="I8"/>
    </sheetView>
  </sheetViews>
  <sheetFormatPr defaultColWidth="8.75" defaultRowHeight="19.899999999999999" customHeight="1"/>
  <cols>
    <col min="1" max="1" width="23.625" style="33" customWidth="1"/>
    <col min="2" max="2" width="16.75" style="33" bestFit="1" customWidth="1"/>
    <col min="3" max="4" width="16.25" style="33" customWidth="1"/>
    <col min="5" max="7" width="10.75" style="50" customWidth="1"/>
    <col min="8" max="8" width="19.25" style="50" customWidth="1"/>
    <col min="9" max="9" width="19.625" style="33" customWidth="1"/>
    <col min="10" max="16384" width="8.75" style="33"/>
  </cols>
  <sheetData>
    <row r="2" spans="1:9" ht="19.899999999999999" customHeight="1">
      <c r="A2" s="54"/>
      <c r="B2" s="54"/>
      <c r="C2" s="54"/>
    </row>
    <row r="3" spans="1:9" ht="19.899999999999999" customHeight="1">
      <c r="A3" s="160" t="s">
        <v>138</v>
      </c>
      <c r="B3" s="160"/>
      <c r="C3" s="160"/>
    </row>
    <row r="4" spans="1:9" ht="19.899999999999999" customHeight="1">
      <c r="A4" s="54"/>
      <c r="B4" s="54"/>
      <c r="C4" s="54"/>
    </row>
    <row r="5" spans="1:9" ht="19.899999999999999" customHeight="1">
      <c r="A5" s="55" t="s">
        <v>36</v>
      </c>
      <c r="B5" s="56">
        <v>43394</v>
      </c>
      <c r="C5" s="54"/>
      <c r="D5" s="34" t="s">
        <v>28</v>
      </c>
      <c r="E5" s="161" t="s">
        <v>34</v>
      </c>
      <c r="F5" s="162"/>
      <c r="G5" s="163"/>
      <c r="H5" s="34" t="s">
        <v>29</v>
      </c>
      <c r="I5" s="34" t="s">
        <v>29</v>
      </c>
    </row>
    <row r="6" spans="1:9" ht="19.899999999999999" customHeight="1">
      <c r="A6" s="54"/>
      <c r="B6" s="54"/>
      <c r="C6" s="54"/>
      <c r="D6" s="35" t="s">
        <v>30</v>
      </c>
      <c r="E6" s="36" t="s">
        <v>38</v>
      </c>
      <c r="F6" s="36" t="s">
        <v>31</v>
      </c>
      <c r="G6" s="36" t="s">
        <v>32</v>
      </c>
      <c r="H6" s="35" t="s">
        <v>33</v>
      </c>
      <c r="I6" s="35" t="s">
        <v>33</v>
      </c>
    </row>
    <row r="7" spans="1:9" ht="19.899999999999999" customHeight="1">
      <c r="A7" s="158" t="s">
        <v>122</v>
      </c>
      <c r="B7" s="59">
        <v>800</v>
      </c>
      <c r="C7" s="54" t="s">
        <v>35</v>
      </c>
      <c r="D7" s="37">
        <f t="shared" ref="D7:D20" si="0">B7*1000</f>
        <v>800000</v>
      </c>
      <c r="E7" s="38" t="str">
        <f>MID(REPT(" ",4*3+2-LEN($D7))&amp;$D7,COLUMN(B7)*3,3)</f>
        <v xml:space="preserve">   </v>
      </c>
      <c r="F7" s="38" t="str">
        <f>MID(REPT(" ",4*3+2-LEN($D7))&amp;$D7,COLUMN(C7)*3,3)</f>
        <v>800</v>
      </c>
      <c r="G7" s="38" t="str">
        <f>MID(REPT(" ",4*3+2-LEN($D7))&amp;$D7,COLUMN(D7)*3,3)</f>
        <v>000</v>
      </c>
      <c r="H7" s="39" t="str">
        <f t="shared" ref="H7:I20" si="1">IF(ISERROR(VALUE(E7)),"",VALUE(E7))</f>
        <v/>
      </c>
      <c r="I7" s="40">
        <f t="shared" si="1"/>
        <v>800</v>
      </c>
    </row>
    <row r="8" spans="1:9" ht="19.899999999999999" customHeight="1">
      <c r="A8" s="158" t="s">
        <v>123</v>
      </c>
      <c r="B8" s="59">
        <v>20</v>
      </c>
      <c r="C8" s="54" t="s">
        <v>35</v>
      </c>
      <c r="D8" s="37">
        <f t="shared" si="0"/>
        <v>20000</v>
      </c>
      <c r="E8" s="40" t="str">
        <f t="shared" ref="E8:G22" si="2">MID(REPT(" ",4*3+2-LEN($D8))&amp;$D8,COLUMN(B8)*3,3)</f>
        <v xml:space="preserve">   </v>
      </c>
      <c r="F8" s="40" t="str">
        <f t="shared" si="2"/>
        <v xml:space="preserve"> 20</v>
      </c>
      <c r="G8" s="40" t="str">
        <f t="shared" si="2"/>
        <v>000</v>
      </c>
      <c r="H8" s="39" t="str">
        <f t="shared" si="1"/>
        <v/>
      </c>
      <c r="I8" s="39">
        <f t="shared" si="1"/>
        <v>20</v>
      </c>
    </row>
    <row r="9" spans="1:9" ht="19.899999999999999" customHeight="1">
      <c r="A9" s="158" t="s">
        <v>119</v>
      </c>
      <c r="B9" s="59">
        <v>10</v>
      </c>
      <c r="C9" s="54" t="s">
        <v>35</v>
      </c>
      <c r="D9" s="37">
        <f t="shared" si="0"/>
        <v>10000</v>
      </c>
      <c r="E9" s="40" t="str">
        <f t="shared" si="2"/>
        <v xml:space="preserve">   </v>
      </c>
      <c r="F9" s="40" t="str">
        <f t="shared" si="2"/>
        <v xml:space="preserve"> 10</v>
      </c>
      <c r="G9" s="40" t="str">
        <f t="shared" si="2"/>
        <v>000</v>
      </c>
      <c r="H9" s="39" t="str">
        <f t="shared" si="1"/>
        <v/>
      </c>
      <c r="I9" s="39">
        <f t="shared" si="1"/>
        <v>10</v>
      </c>
    </row>
    <row r="10" spans="1:9" ht="19.899999999999999" customHeight="1">
      <c r="A10" s="158" t="s">
        <v>117</v>
      </c>
      <c r="B10" s="59">
        <v>50</v>
      </c>
      <c r="C10" s="54" t="s">
        <v>35</v>
      </c>
      <c r="D10" s="37">
        <f t="shared" si="0"/>
        <v>50000</v>
      </c>
      <c r="E10" s="40" t="str">
        <f t="shared" si="2"/>
        <v xml:space="preserve">   </v>
      </c>
      <c r="F10" s="40" t="str">
        <f t="shared" si="2"/>
        <v xml:space="preserve"> 50</v>
      </c>
      <c r="G10" s="40" t="str">
        <f t="shared" si="2"/>
        <v>000</v>
      </c>
      <c r="H10" s="39" t="str">
        <f t="shared" si="1"/>
        <v/>
      </c>
      <c r="I10" s="39">
        <f t="shared" si="1"/>
        <v>50</v>
      </c>
    </row>
    <row r="11" spans="1:9" ht="19.899999999999999" customHeight="1">
      <c r="A11" s="158" t="s">
        <v>116</v>
      </c>
      <c r="B11" s="59">
        <v>100</v>
      </c>
      <c r="C11" s="54" t="s">
        <v>35</v>
      </c>
      <c r="D11" s="37">
        <f t="shared" si="0"/>
        <v>100000</v>
      </c>
      <c r="E11" s="40" t="str">
        <f t="shared" si="2"/>
        <v xml:space="preserve">   </v>
      </c>
      <c r="F11" s="40" t="str">
        <f t="shared" si="2"/>
        <v>100</v>
      </c>
      <c r="G11" s="40" t="str">
        <f t="shared" si="2"/>
        <v>000</v>
      </c>
      <c r="H11" s="39" t="str">
        <f t="shared" si="1"/>
        <v/>
      </c>
      <c r="I11" s="39">
        <f t="shared" si="1"/>
        <v>100</v>
      </c>
    </row>
    <row r="12" spans="1:9" ht="19.899999999999999" customHeight="1">
      <c r="A12" s="158" t="s">
        <v>104</v>
      </c>
      <c r="B12" s="59">
        <v>50</v>
      </c>
      <c r="C12" s="54" t="s">
        <v>35</v>
      </c>
      <c r="D12" s="37">
        <f t="shared" si="0"/>
        <v>50000</v>
      </c>
      <c r="E12" s="40" t="str">
        <f t="shared" si="2"/>
        <v xml:space="preserve">   </v>
      </c>
      <c r="F12" s="40" t="str">
        <f t="shared" si="2"/>
        <v xml:space="preserve"> 50</v>
      </c>
      <c r="G12" s="40" t="str">
        <f t="shared" si="2"/>
        <v>000</v>
      </c>
      <c r="H12" s="39" t="str">
        <f t="shared" si="1"/>
        <v/>
      </c>
      <c r="I12" s="39">
        <f t="shared" si="1"/>
        <v>50</v>
      </c>
    </row>
    <row r="13" spans="1:9" ht="19.899999999999999" customHeight="1">
      <c r="A13" s="158" t="s">
        <v>26</v>
      </c>
      <c r="B13" s="59">
        <v>10</v>
      </c>
      <c r="C13" s="54" t="s">
        <v>35</v>
      </c>
      <c r="D13" s="37">
        <f t="shared" si="0"/>
        <v>10000</v>
      </c>
      <c r="E13" s="40" t="str">
        <f t="shared" si="2"/>
        <v xml:space="preserve">   </v>
      </c>
      <c r="F13" s="40" t="str">
        <f t="shared" si="2"/>
        <v xml:space="preserve"> 10</v>
      </c>
      <c r="G13" s="40" t="str">
        <f t="shared" si="2"/>
        <v>000</v>
      </c>
      <c r="H13" s="39" t="str">
        <f t="shared" si="1"/>
        <v/>
      </c>
      <c r="I13" s="39">
        <f t="shared" si="1"/>
        <v>10</v>
      </c>
    </row>
    <row r="14" spans="1:9" ht="19.899999999999999" customHeight="1">
      <c r="A14" s="158" t="s">
        <v>120</v>
      </c>
      <c r="B14" s="59">
        <v>10</v>
      </c>
      <c r="C14" s="54" t="s">
        <v>35</v>
      </c>
      <c r="D14" s="37">
        <f t="shared" si="0"/>
        <v>10000</v>
      </c>
      <c r="E14" s="40" t="str">
        <f t="shared" si="2"/>
        <v xml:space="preserve">   </v>
      </c>
      <c r="F14" s="40" t="str">
        <f t="shared" si="2"/>
        <v xml:space="preserve"> 10</v>
      </c>
      <c r="G14" s="40" t="str">
        <f t="shared" si="2"/>
        <v>000</v>
      </c>
      <c r="H14" s="39" t="str">
        <f t="shared" si="1"/>
        <v/>
      </c>
      <c r="I14" s="39">
        <f t="shared" si="1"/>
        <v>10</v>
      </c>
    </row>
    <row r="15" spans="1:9" ht="19.899999999999999" customHeight="1">
      <c r="A15" s="158" t="s">
        <v>118</v>
      </c>
      <c r="B15" s="59">
        <v>5</v>
      </c>
      <c r="C15" s="54" t="s">
        <v>35</v>
      </c>
      <c r="D15" s="37">
        <f t="shared" si="0"/>
        <v>5000</v>
      </c>
      <c r="E15" s="40" t="str">
        <f t="shared" si="2"/>
        <v xml:space="preserve">   </v>
      </c>
      <c r="F15" s="40" t="str">
        <f t="shared" si="2"/>
        <v xml:space="preserve">  5</v>
      </c>
      <c r="G15" s="40" t="str">
        <f t="shared" si="2"/>
        <v>000</v>
      </c>
      <c r="H15" s="39" t="str">
        <f t="shared" si="1"/>
        <v/>
      </c>
      <c r="I15" s="39">
        <f t="shared" si="1"/>
        <v>5</v>
      </c>
    </row>
    <row r="16" spans="1:9" ht="19.899999999999999" customHeight="1">
      <c r="A16" s="158" t="s">
        <v>124</v>
      </c>
      <c r="B16" s="59">
        <v>10</v>
      </c>
      <c r="C16" s="54" t="s">
        <v>35</v>
      </c>
      <c r="D16" s="37">
        <f t="shared" si="0"/>
        <v>10000</v>
      </c>
      <c r="E16" s="40" t="str">
        <f t="shared" si="2"/>
        <v xml:space="preserve">   </v>
      </c>
      <c r="F16" s="40" t="str">
        <f t="shared" si="2"/>
        <v xml:space="preserve"> 10</v>
      </c>
      <c r="G16" s="40" t="str">
        <f t="shared" si="2"/>
        <v>000</v>
      </c>
      <c r="H16" s="39" t="str">
        <f t="shared" si="1"/>
        <v/>
      </c>
      <c r="I16" s="39">
        <f t="shared" si="1"/>
        <v>10</v>
      </c>
    </row>
    <row r="17" spans="1:10" ht="19.899999999999999" customHeight="1">
      <c r="A17" s="158" t="s">
        <v>121</v>
      </c>
      <c r="B17" s="59">
        <v>30</v>
      </c>
      <c r="C17" s="54" t="s">
        <v>35</v>
      </c>
      <c r="D17" s="37">
        <f t="shared" si="0"/>
        <v>30000</v>
      </c>
      <c r="E17" s="40" t="str">
        <f t="shared" si="2"/>
        <v xml:space="preserve">   </v>
      </c>
      <c r="F17" s="40" t="str">
        <f t="shared" si="2"/>
        <v xml:space="preserve"> 30</v>
      </c>
      <c r="G17" s="40" t="str">
        <f t="shared" si="2"/>
        <v>000</v>
      </c>
      <c r="H17" s="39" t="str">
        <f t="shared" si="1"/>
        <v/>
      </c>
      <c r="I17" s="39">
        <f t="shared" si="1"/>
        <v>30</v>
      </c>
    </row>
    <row r="18" spans="1:10" ht="19.899999999999999" customHeight="1">
      <c r="A18" s="158" t="s">
        <v>125</v>
      </c>
      <c r="B18" s="59">
        <v>70</v>
      </c>
      <c r="C18" s="54" t="s">
        <v>35</v>
      </c>
      <c r="D18" s="37">
        <f t="shared" si="0"/>
        <v>70000</v>
      </c>
      <c r="E18" s="40" t="str">
        <f t="shared" si="2"/>
        <v xml:space="preserve">   </v>
      </c>
      <c r="F18" s="40" t="str">
        <f t="shared" si="2"/>
        <v xml:space="preserve"> 70</v>
      </c>
      <c r="G18" s="40" t="str">
        <f t="shared" si="2"/>
        <v>000</v>
      </c>
      <c r="H18" s="39" t="str">
        <f t="shared" si="1"/>
        <v/>
      </c>
      <c r="I18" s="39">
        <f t="shared" si="1"/>
        <v>70</v>
      </c>
    </row>
    <row r="19" spans="1:10" ht="19.899999999999999" customHeight="1">
      <c r="A19" s="158"/>
      <c r="B19" s="59"/>
      <c r="C19" s="54" t="s">
        <v>35</v>
      </c>
      <c r="D19" s="37">
        <f t="shared" si="0"/>
        <v>0</v>
      </c>
      <c r="E19" s="40" t="str">
        <f t="shared" si="2"/>
        <v xml:space="preserve">   </v>
      </c>
      <c r="F19" s="40" t="str">
        <f t="shared" si="2"/>
        <v xml:space="preserve">   </v>
      </c>
      <c r="G19" s="40" t="str">
        <f t="shared" si="2"/>
        <v xml:space="preserve">  0</v>
      </c>
      <c r="H19" s="39" t="str">
        <f t="shared" si="1"/>
        <v/>
      </c>
      <c r="I19" s="39" t="str">
        <f t="shared" si="1"/>
        <v/>
      </c>
    </row>
    <row r="20" spans="1:10" ht="19.899999999999999" customHeight="1">
      <c r="A20" s="158"/>
      <c r="B20" s="59"/>
      <c r="C20" s="54" t="s">
        <v>35</v>
      </c>
      <c r="D20" s="37">
        <f t="shared" si="0"/>
        <v>0</v>
      </c>
      <c r="E20" s="40" t="str">
        <f t="shared" si="2"/>
        <v xml:space="preserve">   </v>
      </c>
      <c r="F20" s="40" t="str">
        <f t="shared" si="2"/>
        <v xml:space="preserve">   </v>
      </c>
      <c r="G20" s="40" t="str">
        <f t="shared" si="2"/>
        <v xml:space="preserve">  0</v>
      </c>
      <c r="H20" s="39" t="str">
        <f t="shared" si="1"/>
        <v/>
      </c>
      <c r="I20" s="39" t="str">
        <f t="shared" si="1"/>
        <v/>
      </c>
    </row>
    <row r="21" spans="1:10" ht="19.899999999999999" customHeight="1">
      <c r="A21" s="54"/>
      <c r="B21" s="54"/>
      <c r="C21" s="54"/>
      <c r="D21" s="37"/>
      <c r="E21" s="40" t="str">
        <f t="shared" si="2"/>
        <v xml:space="preserve">   </v>
      </c>
      <c r="F21" s="40" t="str">
        <f t="shared" si="2"/>
        <v xml:space="preserve">   </v>
      </c>
      <c r="G21" s="40" t="str">
        <f t="shared" si="2"/>
        <v xml:space="preserve">   </v>
      </c>
      <c r="H21" s="39"/>
      <c r="I21" s="39"/>
    </row>
    <row r="22" spans="1:10" ht="19.899999999999999" customHeight="1">
      <c r="A22" s="55" t="s">
        <v>37</v>
      </c>
      <c r="B22" s="54">
        <f>SUBTOTAL(9,B7:B20)</f>
        <v>1165</v>
      </c>
      <c r="C22" s="54" t="s">
        <v>35</v>
      </c>
      <c r="D22" s="41">
        <f>B22*1000</f>
        <v>1165000</v>
      </c>
      <c r="E22" s="42" t="str">
        <f t="shared" si="2"/>
        <v xml:space="preserve">  1</v>
      </c>
      <c r="F22" s="42" t="str">
        <f t="shared" si="2"/>
        <v>165</v>
      </c>
      <c r="G22" s="42" t="str">
        <f t="shared" si="2"/>
        <v>000</v>
      </c>
      <c r="H22" s="43">
        <f>IF(ISERROR(VALUE(E22)),"",VALUE(E22))</f>
        <v>1</v>
      </c>
      <c r="I22" s="43">
        <f>IF(ISERROR(VALUE(F22)),"",VALUE(F22))</f>
        <v>165</v>
      </c>
    </row>
    <row r="24" spans="1:10" ht="19.899999999999999" customHeight="1">
      <c r="A24" s="44"/>
      <c r="B24" s="44"/>
      <c r="C24" s="44"/>
      <c r="D24" s="44"/>
      <c r="E24" s="45"/>
      <c r="F24" s="45"/>
      <c r="G24" s="45"/>
      <c r="H24" s="45"/>
      <c r="I24" s="44"/>
      <c r="J24" s="44"/>
    </row>
    <row r="25" spans="1:10" ht="19.899999999999999" customHeight="1">
      <c r="A25" s="44"/>
      <c r="B25" s="44"/>
      <c r="C25" s="44"/>
      <c r="D25" s="44"/>
      <c r="E25" s="45"/>
      <c r="F25" s="46"/>
      <c r="G25" s="46"/>
      <c r="H25" s="45"/>
      <c r="I25" s="44"/>
      <c r="J25" s="44"/>
    </row>
    <row r="26" spans="1:10" ht="19.899999999999999" customHeight="1">
      <c r="A26" s="44"/>
      <c r="B26" s="44"/>
      <c r="C26" s="44"/>
      <c r="D26" s="44"/>
      <c r="E26" s="47"/>
      <c r="F26" s="47"/>
      <c r="G26" s="47"/>
      <c r="H26" s="45"/>
      <c r="I26" s="44"/>
      <c r="J26" s="44"/>
    </row>
    <row r="27" spans="1:10" ht="19.899999999999999" customHeight="1">
      <c r="A27" s="44"/>
      <c r="B27" s="44"/>
      <c r="C27" s="48"/>
      <c r="D27" s="48"/>
      <c r="E27" s="47"/>
      <c r="F27" s="47"/>
      <c r="G27" s="47"/>
      <c r="H27" s="45"/>
      <c r="I27" s="44"/>
      <c r="J27" s="44"/>
    </row>
    <row r="28" spans="1:10" ht="19.899999999999999" customHeight="1">
      <c r="A28" s="44"/>
      <c r="B28" s="44"/>
      <c r="C28" s="48"/>
      <c r="D28" s="44"/>
      <c r="E28" s="47"/>
      <c r="F28" s="47"/>
      <c r="G28" s="47"/>
      <c r="H28" s="45"/>
      <c r="I28" s="44"/>
      <c r="J28" s="44"/>
    </row>
    <row r="29" spans="1:10" ht="19.899999999999999" customHeight="1">
      <c r="A29" s="44"/>
      <c r="B29" s="44"/>
      <c r="C29" s="48"/>
      <c r="D29" s="44"/>
      <c r="E29" s="47"/>
      <c r="F29" s="47"/>
      <c r="G29" s="47"/>
      <c r="H29" s="45"/>
      <c r="I29" s="44"/>
      <c r="J29" s="44"/>
    </row>
    <row r="30" spans="1:10" ht="19.899999999999999" customHeight="1">
      <c r="A30" s="44"/>
      <c r="B30" s="44"/>
      <c r="C30" s="48"/>
      <c r="D30" s="44"/>
      <c r="E30" s="47"/>
      <c r="F30" s="47"/>
      <c r="G30" s="47"/>
      <c r="H30" s="45"/>
      <c r="I30" s="44"/>
      <c r="J30" s="44"/>
    </row>
    <row r="31" spans="1:10" ht="19.899999999999999" customHeight="1">
      <c r="A31" s="44"/>
      <c r="B31" s="44"/>
      <c r="C31" s="48"/>
      <c r="D31" s="44"/>
      <c r="E31" s="47"/>
      <c r="F31" s="47"/>
      <c r="G31" s="47"/>
      <c r="H31" s="45"/>
      <c r="I31" s="44"/>
      <c r="J31" s="44"/>
    </row>
    <row r="32" spans="1:10" ht="19.899999999999999" customHeight="1">
      <c r="A32" s="44"/>
      <c r="B32" s="44"/>
      <c r="C32" s="48"/>
      <c r="D32" s="44"/>
      <c r="E32" s="47"/>
      <c r="F32" s="47"/>
      <c r="G32" s="47"/>
      <c r="H32" s="45"/>
      <c r="I32" s="44"/>
      <c r="J32" s="44"/>
    </row>
    <row r="33" spans="1:10" ht="19.899999999999999" customHeight="1">
      <c r="A33" s="44"/>
      <c r="B33" s="44"/>
      <c r="C33" s="48"/>
      <c r="D33" s="44"/>
      <c r="E33" s="47"/>
      <c r="F33" s="47"/>
      <c r="G33" s="47"/>
      <c r="H33" s="45"/>
      <c r="I33" s="44"/>
      <c r="J33" s="44"/>
    </row>
    <row r="34" spans="1:10" ht="19.899999999999999" customHeight="1">
      <c r="A34" s="44"/>
      <c r="B34" s="44"/>
      <c r="C34" s="48"/>
      <c r="D34" s="44"/>
      <c r="E34" s="47"/>
      <c r="F34" s="47"/>
      <c r="G34" s="47"/>
      <c r="H34" s="45"/>
      <c r="I34" s="44"/>
      <c r="J34" s="44"/>
    </row>
    <row r="35" spans="1:10" ht="19.899999999999999" customHeight="1">
      <c r="A35" s="44"/>
      <c r="B35" s="44"/>
      <c r="C35" s="48"/>
      <c r="D35" s="44"/>
      <c r="E35" s="47"/>
      <c r="F35" s="47"/>
      <c r="G35" s="47"/>
      <c r="H35" s="45"/>
      <c r="I35" s="44"/>
      <c r="J35" s="44"/>
    </row>
    <row r="36" spans="1:10" ht="19.899999999999999" customHeight="1">
      <c r="A36" s="44"/>
      <c r="B36" s="44"/>
      <c r="C36" s="48"/>
      <c r="D36" s="44"/>
      <c r="E36" s="47"/>
      <c r="F36" s="47"/>
      <c r="G36" s="47"/>
      <c r="H36" s="45"/>
      <c r="I36" s="44"/>
      <c r="J36" s="44"/>
    </row>
    <row r="37" spans="1:10" ht="19.899999999999999" customHeight="1">
      <c r="A37" s="44"/>
      <c r="B37" s="44"/>
      <c r="C37" s="48"/>
      <c r="D37" s="44"/>
      <c r="E37" s="47"/>
      <c r="F37" s="47"/>
      <c r="G37" s="47"/>
      <c r="H37" s="45"/>
      <c r="I37" s="44"/>
      <c r="J37" s="44"/>
    </row>
    <row r="38" spans="1:10" ht="19.899999999999999" customHeight="1">
      <c r="A38" s="44"/>
      <c r="B38" s="44"/>
      <c r="C38" s="48"/>
      <c r="D38" s="44"/>
      <c r="E38" s="47"/>
      <c r="F38" s="47"/>
      <c r="G38" s="47"/>
      <c r="H38" s="45"/>
      <c r="I38" s="44"/>
      <c r="J38" s="44"/>
    </row>
    <row r="39" spans="1:10" ht="19.899999999999999" customHeight="1">
      <c r="A39" s="44"/>
      <c r="B39" s="44"/>
      <c r="C39" s="48"/>
      <c r="D39" s="44"/>
      <c r="E39" s="47"/>
      <c r="F39" s="47"/>
      <c r="G39" s="47"/>
      <c r="H39" s="45"/>
      <c r="I39" s="44"/>
      <c r="J39" s="44"/>
    </row>
    <row r="40" spans="1:10" ht="19.899999999999999" customHeight="1">
      <c r="A40" s="44"/>
      <c r="B40" s="44"/>
      <c r="C40" s="48"/>
      <c r="D40" s="44"/>
      <c r="E40" s="47"/>
      <c r="F40" s="47"/>
      <c r="G40" s="47"/>
      <c r="H40" s="45"/>
      <c r="I40" s="44"/>
      <c r="J40" s="44"/>
    </row>
    <row r="41" spans="1:10" ht="19.899999999999999" customHeight="1">
      <c r="A41" s="44"/>
      <c r="B41" s="44"/>
      <c r="C41" s="48"/>
      <c r="D41" s="44"/>
      <c r="E41" s="47"/>
      <c r="F41" s="47"/>
      <c r="G41" s="47"/>
      <c r="H41" s="45"/>
      <c r="I41" s="44"/>
      <c r="J41" s="44"/>
    </row>
    <row r="42" spans="1:10" ht="19.899999999999999" customHeight="1">
      <c r="A42" s="44"/>
      <c r="B42" s="44"/>
      <c r="C42" s="48"/>
      <c r="D42" s="44"/>
      <c r="E42" s="47"/>
      <c r="F42" s="47"/>
      <c r="G42" s="47"/>
      <c r="H42" s="49"/>
      <c r="I42" s="49"/>
      <c r="J42" s="44"/>
    </row>
    <row r="43" spans="1:10" ht="19.899999999999999" customHeight="1">
      <c r="A43" s="44"/>
      <c r="B43" s="44"/>
      <c r="C43" s="44"/>
      <c r="D43" s="44"/>
      <c r="E43" s="45"/>
      <c r="F43" s="45"/>
      <c r="G43" s="45"/>
      <c r="H43" s="45"/>
      <c r="I43" s="44"/>
      <c r="J43" s="44"/>
    </row>
    <row r="44" spans="1:10" ht="19.899999999999999" customHeight="1">
      <c r="A44" s="44"/>
      <c r="B44" s="44"/>
      <c r="C44" s="44"/>
      <c r="D44" s="44"/>
      <c r="E44" s="45"/>
      <c r="F44" s="45"/>
      <c r="G44" s="45"/>
      <c r="H44" s="45"/>
      <c r="I44" s="44"/>
      <c r="J44" s="44"/>
    </row>
    <row r="45" spans="1:10" ht="19.899999999999999" customHeight="1">
      <c r="A45" s="44"/>
      <c r="B45" s="44"/>
      <c r="C45" s="44"/>
      <c r="D45" s="44"/>
      <c r="E45" s="45"/>
      <c r="F45" s="45"/>
      <c r="G45" s="45"/>
      <c r="H45" s="45"/>
      <c r="I45" s="44"/>
      <c r="J45" s="44"/>
    </row>
  </sheetData>
  <sheetProtection sheet="1" objects="1" scenarios="1"/>
  <mergeCells count="2">
    <mergeCell ref="E5:G5"/>
    <mergeCell ref="A3:C3"/>
  </mergeCells>
  <phoneticPr fontId="1"/>
  <printOptions horizontalCentered="1"/>
  <pageMargins left="0.39370078740157483" right="0.39370078740157483" top="0.39370078740157483" bottom="0.39370078740157483" header="0" footer="0"/>
  <pageSetup paperSize="9" orientation="portrait" horizontalDpi="4294967292" r:id="rId1"/>
  <ignoredErrors>
    <ignoredError sqref="B22" unlockedFormula="1"/>
  </ignoredError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F5912B-AA15-45B0-AFE8-D846FCCC2E4D}">
  <sheetPr>
    <pageSetUpPr fitToPage="1"/>
  </sheetPr>
  <dimension ref="A1:X10"/>
  <sheetViews>
    <sheetView showZeros="0" view="pageBreakPreview" zoomScaleNormal="70" zoomScaleSheetLayoutView="100" workbookViewId="0"/>
  </sheetViews>
  <sheetFormatPr defaultColWidth="7.375" defaultRowHeight="13.5"/>
  <cols>
    <col min="1" max="1" width="7.625" style="111" customWidth="1"/>
    <col min="2" max="3" width="3.625" style="112" customWidth="1"/>
    <col min="4" max="4" width="5.75" style="112" customWidth="1"/>
    <col min="5" max="5" width="1.75" style="112" customWidth="1"/>
    <col min="6" max="6" width="6.75" style="113" customWidth="1"/>
    <col min="7" max="7" width="1.75" style="113" customWidth="1"/>
    <col min="8" max="8" width="5.5" style="113" customWidth="1"/>
    <col min="9" max="9" width="1.75" style="113" customWidth="1"/>
    <col min="10" max="23" width="5.5" style="113" customWidth="1"/>
    <col min="24" max="24" width="13.75" style="114" customWidth="1"/>
    <col min="25" max="16384" width="7.375" style="113"/>
  </cols>
  <sheetData>
    <row r="1" spans="1:24" ht="19.899999999999999" customHeight="1"/>
    <row r="2" spans="1:24" s="115" customFormat="1" ht="45" customHeight="1">
      <c r="A2" s="164" t="str">
        <f>'入力（門徒情報）'!D5&amp;" "&amp;'入力（門徒情報）'!D6&amp;" 様"</f>
        <v>長谷川 勘右ヱ門 様</v>
      </c>
      <c r="D2" s="167">
        <f>IF('入力（受書）'!B5=0,"",'入力（受書）'!B5)</f>
        <v>43394</v>
      </c>
      <c r="E2" s="116"/>
      <c r="F2" s="117"/>
      <c r="J2" s="134" t="s">
        <v>25</v>
      </c>
      <c r="K2" s="134" t="s">
        <v>25</v>
      </c>
      <c r="L2" s="134" t="s">
        <v>25</v>
      </c>
      <c r="M2" s="134" t="s">
        <v>25</v>
      </c>
      <c r="N2" s="134" t="s">
        <v>25</v>
      </c>
      <c r="O2" s="134" t="s">
        <v>25</v>
      </c>
      <c r="P2" s="134" t="s">
        <v>25</v>
      </c>
      <c r="Q2" s="134" t="s">
        <v>25</v>
      </c>
      <c r="R2" s="134" t="s">
        <v>25</v>
      </c>
      <c r="S2" s="134" t="s">
        <v>25</v>
      </c>
      <c r="T2" s="134" t="s">
        <v>25</v>
      </c>
      <c r="U2" s="134" t="s">
        <v>25</v>
      </c>
      <c r="V2" s="134" t="s">
        <v>25</v>
      </c>
      <c r="W2" s="134" t="s">
        <v>25</v>
      </c>
      <c r="X2" s="114"/>
    </row>
    <row r="3" spans="1:24" ht="204.95" customHeight="1">
      <c r="A3" s="164"/>
      <c r="D3" s="167"/>
      <c r="E3" s="116"/>
      <c r="F3" s="169" t="s">
        <v>40</v>
      </c>
      <c r="G3" s="115"/>
      <c r="H3" s="136" t="s">
        <v>80</v>
      </c>
      <c r="I3" s="118"/>
      <c r="J3" s="135">
        <f>'入力（受書）'!A20</f>
        <v>0</v>
      </c>
      <c r="K3" s="135">
        <f>'入力（受書）'!A19</f>
        <v>0</v>
      </c>
      <c r="L3" s="135" t="str">
        <f>'入力（受書）'!A18</f>
        <v>中陰勤行 御布施</v>
      </c>
      <c r="M3" s="135" t="str">
        <f>'入力（受書）'!A17</f>
        <v>初七日 御布施</v>
      </c>
      <c r="N3" s="135" t="str">
        <f>'入力（受書）'!A16</f>
        <v>納骨 礼金</v>
      </c>
      <c r="O3" s="135" t="str">
        <f>'入力（受書）'!A15</f>
        <v>御車料</v>
      </c>
      <c r="P3" s="135" t="str">
        <f>'入力（受書）'!A14</f>
        <v>御膳料</v>
      </c>
      <c r="Q3" s="135" t="str">
        <f>'入力（受書）'!A13</f>
        <v>親戚御香料</v>
      </c>
      <c r="R3" s="135" t="str">
        <f>'入力（受書）'!A12</f>
        <v>葬儀 御布施 役僧</v>
      </c>
      <c r="S3" s="135" t="str">
        <f>'入力（受書）'!A11</f>
        <v>葬儀 御布施 住職</v>
      </c>
      <c r="T3" s="135" t="str">
        <f>'入力（受書）'!A10</f>
        <v>通夜 御布施</v>
      </c>
      <c r="U3" s="135" t="str">
        <f>'入力（受書）'!A9</f>
        <v>臨終勤行 御布施</v>
      </c>
      <c r="V3" s="135" t="str">
        <f>'入力（受書）'!A8</f>
        <v>法名 礼金</v>
      </c>
      <c r="W3" s="135" t="str">
        <f>'入力（受書）'!A7</f>
        <v>永代経 懇志</v>
      </c>
      <c r="X3" s="165" t="s">
        <v>39</v>
      </c>
    </row>
    <row r="4" spans="1:24" s="121" customFormat="1" ht="75" customHeight="1">
      <c r="A4" s="164"/>
      <c r="B4" s="170" t="str">
        <f>"住職 "&amp;'入力（寺院情報）'!D10</f>
        <v>住職 水上 甚栄</v>
      </c>
      <c r="C4" s="168" t="str">
        <f>'入力（寺院情報）'!D11</f>
        <v>勝山市野向町北野津又四十号二番地</v>
      </c>
      <c r="D4" s="166" t="str">
        <f>REPLACE(REPLACE('入力（寺院情報）'!D6,3,0,"　"),2,0,"　")</f>
        <v>道　場　寺</v>
      </c>
      <c r="E4" s="119"/>
      <c r="F4" s="169"/>
      <c r="G4" s="120"/>
      <c r="H4" s="138">
        <f>'入力（受書）'!H22</f>
        <v>1</v>
      </c>
      <c r="J4" s="138" t="str">
        <f>'入力（受書）'!H20</f>
        <v/>
      </c>
      <c r="K4" s="138" t="str">
        <f>'入力（受書）'!H19</f>
        <v/>
      </c>
      <c r="L4" s="138" t="str">
        <f>'入力（受書）'!H18</f>
        <v/>
      </c>
      <c r="M4" s="138" t="str">
        <f>'入力（受書）'!H17</f>
        <v/>
      </c>
      <c r="N4" s="138" t="str">
        <f>'入力（受書）'!H16</f>
        <v/>
      </c>
      <c r="O4" s="138" t="str">
        <f>'入力（受書）'!H15</f>
        <v/>
      </c>
      <c r="P4" s="138" t="str">
        <f>'入力（受書）'!H14</f>
        <v/>
      </c>
      <c r="Q4" s="138" t="str">
        <f>'入力（受書）'!H13</f>
        <v/>
      </c>
      <c r="R4" s="138" t="str">
        <f>'入力（受書）'!H12</f>
        <v/>
      </c>
      <c r="S4" s="138" t="str">
        <f>'入力（受書）'!H11</f>
        <v/>
      </c>
      <c r="T4" s="138" t="str">
        <f>'入力（受書）'!H10</f>
        <v/>
      </c>
      <c r="U4" s="138" t="str">
        <f>'入力（受書）'!H9</f>
        <v/>
      </c>
      <c r="V4" s="138" t="str">
        <f>'入力（受書）'!H8</f>
        <v/>
      </c>
      <c r="W4" s="138" t="str">
        <f>'入力（受書）'!H7</f>
        <v/>
      </c>
      <c r="X4" s="165"/>
    </row>
    <row r="5" spans="1:24" s="122" customFormat="1" ht="11.1" customHeight="1">
      <c r="A5" s="164"/>
      <c r="B5" s="170"/>
      <c r="C5" s="168"/>
      <c r="D5" s="166"/>
      <c r="E5" s="119"/>
      <c r="F5" s="169"/>
      <c r="H5" s="137" t="str">
        <f>IF(H4="","","、")</f>
        <v>、</v>
      </c>
      <c r="I5" s="123"/>
      <c r="J5" s="137" t="str">
        <f t="shared" ref="J5:V5" si="0">IF(J4="","","、")</f>
        <v/>
      </c>
      <c r="K5" s="137" t="str">
        <f t="shared" si="0"/>
        <v/>
      </c>
      <c r="L5" s="137" t="str">
        <f t="shared" si="0"/>
        <v/>
      </c>
      <c r="M5" s="137" t="str">
        <f t="shared" si="0"/>
        <v/>
      </c>
      <c r="N5" s="137" t="str">
        <f t="shared" si="0"/>
        <v/>
      </c>
      <c r="O5" s="137" t="str">
        <f t="shared" si="0"/>
        <v/>
      </c>
      <c r="P5" s="137" t="str">
        <f t="shared" si="0"/>
        <v/>
      </c>
      <c r="Q5" s="137" t="str">
        <f t="shared" si="0"/>
        <v/>
      </c>
      <c r="R5" s="137" t="str">
        <f t="shared" si="0"/>
        <v/>
      </c>
      <c r="S5" s="137" t="str">
        <f t="shared" si="0"/>
        <v/>
      </c>
      <c r="T5" s="137" t="str">
        <f t="shared" si="0"/>
        <v/>
      </c>
      <c r="U5" s="137" t="str">
        <f t="shared" si="0"/>
        <v/>
      </c>
      <c r="V5" s="137" t="str">
        <f t="shared" si="0"/>
        <v/>
      </c>
      <c r="W5" s="137" t="str">
        <f>IF(W4="","","、")</f>
        <v/>
      </c>
      <c r="X5" s="165"/>
    </row>
    <row r="6" spans="1:24" s="121" customFormat="1" ht="78" customHeight="1">
      <c r="A6" s="164"/>
      <c r="B6" s="170"/>
      <c r="C6" s="168"/>
      <c r="D6" s="166"/>
      <c r="E6" s="119"/>
      <c r="F6" s="169"/>
      <c r="G6" s="120"/>
      <c r="H6" s="138">
        <f>IF('入力（受書）'!I22=0,"〇〇〇",('入力（受書）'!I22))</f>
        <v>165</v>
      </c>
      <c r="I6" s="124"/>
      <c r="J6" s="138" t="str">
        <f>IF('入力（受書）'!I20=0,"〇〇〇",('入力（受書）'!I20))</f>
        <v/>
      </c>
      <c r="K6" s="138" t="str">
        <f>IF('入力（受書）'!I19=0,"〇〇〇",('入力（受書）'!I19))</f>
        <v/>
      </c>
      <c r="L6" s="138">
        <f>IF('入力（受書）'!I18=0,"〇〇〇",('入力（受書）'!I18))</f>
        <v>70</v>
      </c>
      <c r="M6" s="138">
        <f>IF('入力（受書）'!I17=0,"〇〇〇",('入力（受書）'!I17))</f>
        <v>30</v>
      </c>
      <c r="N6" s="138">
        <f>IF('入力（受書）'!I16=0,"〇〇〇",('入力（受書）'!I16))</f>
        <v>10</v>
      </c>
      <c r="O6" s="138">
        <f>IF('入力（受書）'!I15=0,"〇〇〇",('入力（受書）'!I15))</f>
        <v>5</v>
      </c>
      <c r="P6" s="138">
        <f>IF('入力（受書）'!I14=0,"〇〇〇",('入力（受書）'!I14))</f>
        <v>10</v>
      </c>
      <c r="Q6" s="139">
        <f>IF('入力（受書）'!I13=0,"〇〇〇",('入力（受書）'!I13))</f>
        <v>10</v>
      </c>
      <c r="R6" s="138">
        <f>IF('入力（受書）'!I12=0,"〇〇〇",('入力（受書）'!I12))</f>
        <v>50</v>
      </c>
      <c r="S6" s="138">
        <f>IF('入力（受書）'!I11=0,"〇〇〇",('入力（受書）'!I11))</f>
        <v>100</v>
      </c>
      <c r="T6" s="138">
        <f>IF('入力（受書）'!I10=0,"〇〇〇",('入力（受書）'!I10))</f>
        <v>50</v>
      </c>
      <c r="U6" s="138">
        <f>IF('入力（受書）'!I9=0,"〇〇〇",('入力（受書）'!I9))</f>
        <v>10</v>
      </c>
      <c r="V6" s="138">
        <f>IF('入力（受書）'!I8=0,"〇〇〇",('入力（受書）'!I8))</f>
        <v>20</v>
      </c>
      <c r="W6" s="138">
        <f>IF('入力（受書）'!I7=0,"〇〇〇",('入力（受書）'!I7))</f>
        <v>800</v>
      </c>
      <c r="X6" s="165"/>
    </row>
    <row r="7" spans="1:24" s="122" customFormat="1" ht="11.1" customHeight="1">
      <c r="A7" s="123"/>
      <c r="B7" s="170"/>
      <c r="C7" s="168"/>
      <c r="D7" s="166"/>
      <c r="E7" s="119"/>
      <c r="F7" s="169"/>
      <c r="G7" s="125"/>
      <c r="H7" s="137" t="str">
        <f>IF('入力（受書）'!I22="","","、")</f>
        <v>、</v>
      </c>
      <c r="I7" s="123"/>
      <c r="J7" s="137" t="str">
        <f>IF('入力（受書）'!I20="","","、")</f>
        <v/>
      </c>
      <c r="K7" s="137" t="str">
        <f>IF('入力（受書）'!I19="","","、")</f>
        <v/>
      </c>
      <c r="L7" s="137" t="str">
        <f>IF('入力（受書）'!I18="","","、")</f>
        <v>、</v>
      </c>
      <c r="M7" s="137" t="str">
        <f>IF('入力（受書）'!I17="","","、")</f>
        <v>、</v>
      </c>
      <c r="N7" s="137" t="str">
        <f>IF('入力（受書）'!I16="","","、")</f>
        <v>、</v>
      </c>
      <c r="O7" s="137" t="str">
        <f>IF('入力（受書）'!I15="","","、")</f>
        <v>、</v>
      </c>
      <c r="P7" s="137" t="str">
        <f>IF('入力（受書）'!I14="","","、")</f>
        <v>、</v>
      </c>
      <c r="Q7" s="137" t="str">
        <f>IF('入力（受書）'!I13="","","、")</f>
        <v>、</v>
      </c>
      <c r="R7" s="137" t="str">
        <f>IF('入力（受書）'!I12="","","、")</f>
        <v>、</v>
      </c>
      <c r="S7" s="137" t="str">
        <f>IF('入力（受書）'!I11="","","、")</f>
        <v>、</v>
      </c>
      <c r="T7" s="137" t="str">
        <f>IF('入力（受書）'!I10="","","、")</f>
        <v>、</v>
      </c>
      <c r="U7" s="137" t="str">
        <f>IF('入力（受書）'!I9="","","、")</f>
        <v>、</v>
      </c>
      <c r="V7" s="137" t="str">
        <f>IF('入力（受書）'!I8="","","、")</f>
        <v>、</v>
      </c>
      <c r="W7" s="137" t="str">
        <f>IF('入力（受書）'!I7="","","、")</f>
        <v>、</v>
      </c>
      <c r="X7" s="165"/>
    </row>
    <row r="8" spans="1:24" s="129" customFormat="1" ht="69.95" customHeight="1">
      <c r="A8" s="126"/>
      <c r="B8" s="170"/>
      <c r="C8" s="168"/>
      <c r="D8" s="166"/>
      <c r="E8" s="119"/>
      <c r="F8" s="169"/>
      <c r="G8" s="127"/>
      <c r="H8" s="141" t="str">
        <f>IF('入力（受書）'!I22="","","〇〇〇")</f>
        <v>〇〇〇</v>
      </c>
      <c r="I8" s="128"/>
      <c r="J8" s="141" t="str">
        <f>IF('入力（受書）'!I20="","","〇〇〇")</f>
        <v/>
      </c>
      <c r="K8" s="141" t="str">
        <f>IF('入力（受書）'!I19="","","〇〇〇")</f>
        <v/>
      </c>
      <c r="L8" s="141" t="str">
        <f>IF('入力（受書）'!I18="","","〇〇〇")</f>
        <v>〇〇〇</v>
      </c>
      <c r="M8" s="141" t="str">
        <f>IF('入力（受書）'!I17="","","〇〇〇")</f>
        <v>〇〇〇</v>
      </c>
      <c r="N8" s="141" t="str">
        <f>IF('入力（受書）'!I16="","","〇〇〇")</f>
        <v>〇〇〇</v>
      </c>
      <c r="O8" s="141" t="str">
        <f>IF('入力（受書）'!I15="","","〇〇〇")</f>
        <v>〇〇〇</v>
      </c>
      <c r="P8" s="141" t="str">
        <f>IF('入力（受書）'!I14="","","〇〇〇")</f>
        <v>〇〇〇</v>
      </c>
      <c r="Q8" s="141" t="str">
        <f>IF('入力（受書）'!I13="","","〇〇〇")</f>
        <v>〇〇〇</v>
      </c>
      <c r="R8" s="141" t="str">
        <f>IF('入力（受書）'!I12="","","〇〇〇")</f>
        <v>〇〇〇</v>
      </c>
      <c r="S8" s="141" t="str">
        <f>IF('入力（受書）'!I11="","","〇〇〇")</f>
        <v>〇〇〇</v>
      </c>
      <c r="T8" s="141" t="str">
        <f>IF('入力（受書）'!I10="","","〇〇〇")</f>
        <v>〇〇〇</v>
      </c>
      <c r="U8" s="141" t="str">
        <f>IF('入力（受書）'!I9="","","〇〇〇")</f>
        <v>〇〇〇</v>
      </c>
      <c r="V8" s="141" t="str">
        <f>IF('入力（受書）'!I8="","","〇〇〇")</f>
        <v>〇〇〇</v>
      </c>
      <c r="W8" s="140" t="str">
        <f>IF('入力（受書）'!I7="","","〇〇〇")</f>
        <v>〇〇〇</v>
      </c>
      <c r="X8" s="165"/>
    </row>
    <row r="9" spans="1:24" s="131" customFormat="1" ht="24.95" customHeight="1">
      <c r="A9" s="130"/>
      <c r="B9" s="170"/>
      <c r="C9" s="168"/>
      <c r="F9" s="169"/>
      <c r="G9" s="132"/>
      <c r="H9" s="142" t="s">
        <v>27</v>
      </c>
      <c r="I9" s="132"/>
      <c r="J9" s="142" t="s">
        <v>27</v>
      </c>
      <c r="K9" s="142" t="s">
        <v>27</v>
      </c>
      <c r="L9" s="142" t="s">
        <v>27</v>
      </c>
      <c r="M9" s="142" t="s">
        <v>27</v>
      </c>
      <c r="N9" s="142" t="s">
        <v>27</v>
      </c>
      <c r="O9" s="142" t="s">
        <v>27</v>
      </c>
      <c r="P9" s="142" t="s">
        <v>27</v>
      </c>
      <c r="Q9" s="142" t="s">
        <v>27</v>
      </c>
      <c r="R9" s="142" t="s">
        <v>27</v>
      </c>
      <c r="S9" s="142" t="s">
        <v>27</v>
      </c>
      <c r="T9" s="142" t="s">
        <v>27</v>
      </c>
      <c r="U9" s="142" t="s">
        <v>27</v>
      </c>
      <c r="V9" s="142" t="s">
        <v>27</v>
      </c>
      <c r="W9" s="142" t="s">
        <v>27</v>
      </c>
      <c r="X9" s="133"/>
    </row>
    <row r="10" spans="1:24" ht="19.899999999999999" customHeight="1"/>
  </sheetData>
  <sheetProtection sheet="1" objects="1" scenarios="1"/>
  <mergeCells count="7">
    <mergeCell ref="A2:A6"/>
    <mergeCell ref="X3:X8"/>
    <mergeCell ref="D4:D8"/>
    <mergeCell ref="D2:D3"/>
    <mergeCell ref="C4:C9"/>
    <mergeCell ref="F3:F9"/>
    <mergeCell ref="B4:B9"/>
  </mergeCells>
  <phoneticPr fontId="1"/>
  <printOptions horizontalCentered="1" verticalCentered="1"/>
  <pageMargins left="0.39370078740157483" right="0.39370078740157483" top="0.39370078740157483" bottom="0.39370078740157483" header="0" footer="0"/>
  <pageSetup paperSize="9" scale="97" orientation="landscape" horizontalDpi="4294967292" verticalDpi="120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A7D4CE-35EC-4E7D-9BFA-F8CDAD3AE6B4}">
  <sheetPr>
    <tabColor rgb="FFFF0000"/>
    <pageSetUpPr fitToPage="1"/>
  </sheetPr>
  <dimension ref="B2:E33"/>
  <sheetViews>
    <sheetView tabSelected="1" view="pageBreakPreview" zoomScaleNormal="100" zoomScaleSheetLayoutView="100" workbookViewId="0"/>
  </sheetViews>
  <sheetFormatPr defaultColWidth="8.75" defaultRowHeight="19.899999999999999" customHeight="1"/>
  <cols>
    <col min="1" max="1" width="5.25" style="51" customWidth="1"/>
    <col min="2" max="2" width="5.125" style="52" customWidth="1"/>
    <col min="3" max="3" width="30.625" style="62" customWidth="1"/>
    <col min="4" max="4" width="45.625" style="53" customWidth="1"/>
    <col min="5" max="5" width="19.625" style="51" customWidth="1"/>
    <col min="6" max="16384" width="8.75" style="51"/>
  </cols>
  <sheetData>
    <row r="2" spans="2:5" ht="19.899999999999999" customHeight="1">
      <c r="B2" s="61"/>
      <c r="C2" s="61"/>
      <c r="D2" s="61"/>
      <c r="E2" s="61"/>
    </row>
    <row r="3" spans="2:5" ht="19.899999999999999" customHeight="1">
      <c r="B3" s="160" t="s">
        <v>139</v>
      </c>
      <c r="C3" s="160"/>
      <c r="D3" s="160"/>
      <c r="E3" s="160"/>
    </row>
    <row r="4" spans="2:5" ht="19.899999999999999" customHeight="1">
      <c r="B4" s="61"/>
      <c r="C4" s="61"/>
      <c r="D4" s="61"/>
      <c r="E4" s="61"/>
    </row>
    <row r="5" spans="2:5" ht="19.899999999999999" customHeight="1">
      <c r="B5" s="60" t="s">
        <v>22</v>
      </c>
      <c r="C5" s="61" t="s">
        <v>56</v>
      </c>
      <c r="D5" s="67" t="s">
        <v>92</v>
      </c>
      <c r="E5" s="61" t="s">
        <v>41</v>
      </c>
    </row>
    <row r="6" spans="2:5" ht="19.899999999999999" customHeight="1">
      <c r="B6" s="60" t="s">
        <v>58</v>
      </c>
      <c r="C6" s="61" t="s">
        <v>57</v>
      </c>
      <c r="D6" s="67" t="s">
        <v>93</v>
      </c>
      <c r="E6" s="61" t="s">
        <v>75</v>
      </c>
    </row>
    <row r="7" spans="2:5" ht="19.899999999999999" customHeight="1">
      <c r="B7" s="60"/>
      <c r="C7" s="61" t="s">
        <v>141</v>
      </c>
      <c r="D7" s="67" t="s">
        <v>76</v>
      </c>
      <c r="E7" s="61"/>
    </row>
    <row r="8" spans="2:5" ht="19.899999999999999" customHeight="1">
      <c r="B8" s="60"/>
      <c r="C8" s="61"/>
      <c r="D8" s="67"/>
      <c r="E8" s="61"/>
    </row>
    <row r="9" spans="2:5" ht="19.899999999999999" customHeight="1">
      <c r="B9" s="60" t="s">
        <v>59</v>
      </c>
      <c r="C9" s="61" t="s">
        <v>5</v>
      </c>
      <c r="D9" s="67" t="s">
        <v>96</v>
      </c>
      <c r="E9" s="61" t="s">
        <v>42</v>
      </c>
    </row>
    <row r="10" spans="2:5" ht="19.899999999999999" customHeight="1">
      <c r="B10" s="60" t="s">
        <v>60</v>
      </c>
      <c r="C10" s="61" t="s">
        <v>6</v>
      </c>
      <c r="D10" s="67" t="s">
        <v>97</v>
      </c>
      <c r="E10" s="61" t="s">
        <v>42</v>
      </c>
    </row>
    <row r="11" spans="2:5" ht="19.899999999999999" customHeight="1">
      <c r="B11" s="60" t="s">
        <v>61</v>
      </c>
      <c r="C11" s="61" t="s">
        <v>7</v>
      </c>
      <c r="D11" s="67" t="s">
        <v>98</v>
      </c>
      <c r="E11" s="61" t="s">
        <v>43</v>
      </c>
    </row>
    <row r="12" spans="2:5" ht="19.899999999999999" customHeight="1">
      <c r="B12" s="60" t="s">
        <v>62</v>
      </c>
      <c r="C12" s="61" t="s">
        <v>8</v>
      </c>
      <c r="D12" s="67" t="s">
        <v>99</v>
      </c>
      <c r="E12" s="61" t="s">
        <v>44</v>
      </c>
    </row>
    <row r="13" spans="2:5" ht="19.899999999999999" customHeight="1">
      <c r="B13" s="60"/>
      <c r="C13" s="61"/>
      <c r="D13" s="67"/>
      <c r="E13" s="61"/>
    </row>
    <row r="14" spans="2:5" ht="19.899999999999999" customHeight="1">
      <c r="B14" s="60" t="s">
        <v>63</v>
      </c>
      <c r="C14" s="61" t="s">
        <v>1</v>
      </c>
      <c r="D14" s="67" t="s">
        <v>100</v>
      </c>
      <c r="E14" s="61" t="s">
        <v>42</v>
      </c>
    </row>
    <row r="15" spans="2:5" ht="19.899999999999999" customHeight="1">
      <c r="B15" s="60" t="s">
        <v>64</v>
      </c>
      <c r="C15" s="61" t="s">
        <v>2</v>
      </c>
      <c r="D15" s="67" t="s">
        <v>101</v>
      </c>
      <c r="E15" s="61" t="s">
        <v>42</v>
      </c>
    </row>
    <row r="16" spans="2:5" ht="19.899999999999999" customHeight="1">
      <c r="B16" s="60" t="s">
        <v>65</v>
      </c>
      <c r="C16" s="61" t="s">
        <v>3</v>
      </c>
      <c r="D16" s="67" t="s">
        <v>102</v>
      </c>
      <c r="E16" s="61" t="s">
        <v>44</v>
      </c>
    </row>
    <row r="17" spans="2:5" ht="19.899999999999999" customHeight="1">
      <c r="B17" s="60" t="s">
        <v>66</v>
      </c>
      <c r="C17" s="61" t="s">
        <v>4</v>
      </c>
      <c r="D17" s="67" t="s">
        <v>103</v>
      </c>
      <c r="E17" s="61" t="s">
        <v>44</v>
      </c>
    </row>
    <row r="18" spans="2:5" ht="19.899999999999999" customHeight="1">
      <c r="B18" s="60"/>
      <c r="C18" s="61"/>
      <c r="D18" s="67"/>
      <c r="E18" s="61"/>
    </row>
    <row r="19" spans="2:5" ht="19.899999999999999" customHeight="1">
      <c r="B19" s="60" t="s">
        <v>67</v>
      </c>
      <c r="C19" s="61" t="s">
        <v>9</v>
      </c>
      <c r="D19" s="67" t="s">
        <v>90</v>
      </c>
      <c r="E19" s="61" t="s">
        <v>42</v>
      </c>
    </row>
    <row r="20" spans="2:5" ht="19.899999999999999" customHeight="1">
      <c r="B20" s="60" t="s">
        <v>68</v>
      </c>
      <c r="C20" s="61" t="s">
        <v>10</v>
      </c>
      <c r="D20" s="67" t="s">
        <v>95</v>
      </c>
      <c r="E20" s="61" t="s">
        <v>42</v>
      </c>
    </row>
    <row r="21" spans="2:5" ht="19.899999999999999" customHeight="1">
      <c r="B21" s="60" t="s">
        <v>69</v>
      </c>
      <c r="C21" s="61" t="s">
        <v>11</v>
      </c>
      <c r="D21" s="67" t="s">
        <v>91</v>
      </c>
      <c r="E21" s="61" t="s">
        <v>44</v>
      </c>
    </row>
    <row r="22" spans="2:5" ht="19.899999999999999" customHeight="1">
      <c r="B22" s="60" t="s">
        <v>70</v>
      </c>
      <c r="C22" s="61" t="s">
        <v>12</v>
      </c>
      <c r="D22" s="67" t="s">
        <v>94</v>
      </c>
      <c r="E22" s="61" t="s">
        <v>44</v>
      </c>
    </row>
    <row r="23" spans="2:5" ht="19.899999999999999" customHeight="1">
      <c r="B23" s="60"/>
      <c r="C23" s="61"/>
      <c r="D23" s="67"/>
      <c r="E23" s="61"/>
    </row>
    <row r="24" spans="2:5" ht="19.899999999999999" customHeight="1">
      <c r="B24" s="60" t="s">
        <v>71</v>
      </c>
      <c r="C24" s="61" t="s">
        <v>13</v>
      </c>
      <c r="D24" s="68">
        <v>43391</v>
      </c>
      <c r="E24" s="61" t="s">
        <v>45</v>
      </c>
    </row>
    <row r="25" spans="2:5" ht="19.899999999999999" customHeight="1">
      <c r="B25" s="60" t="s">
        <v>72</v>
      </c>
      <c r="C25" s="61" t="s">
        <v>0</v>
      </c>
      <c r="D25" s="67" t="s">
        <v>88</v>
      </c>
      <c r="E25" s="61" t="s">
        <v>46</v>
      </c>
    </row>
    <row r="26" spans="2:5" ht="19.899999999999999" customHeight="1">
      <c r="B26" s="60"/>
      <c r="C26" s="61"/>
      <c r="D26" s="67"/>
      <c r="E26" s="61"/>
    </row>
    <row r="27" spans="2:5" ht="19.899999999999999" customHeight="1">
      <c r="B27" s="60" t="s">
        <v>73</v>
      </c>
      <c r="C27" s="61" t="s">
        <v>14</v>
      </c>
      <c r="D27" s="67" t="s">
        <v>135</v>
      </c>
      <c r="E27" s="61" t="s">
        <v>42</v>
      </c>
    </row>
    <row r="28" spans="2:5" ht="40.15" customHeight="1">
      <c r="B28" s="60" t="s">
        <v>74</v>
      </c>
      <c r="C28" s="61" t="s">
        <v>15</v>
      </c>
      <c r="D28" s="159" t="s">
        <v>134</v>
      </c>
      <c r="E28" s="61" t="s">
        <v>42</v>
      </c>
    </row>
    <row r="29" spans="2:5" ht="19.899999999999999" customHeight="1">
      <c r="B29" s="60" t="s">
        <v>79</v>
      </c>
      <c r="C29" s="61" t="s">
        <v>77</v>
      </c>
      <c r="D29" s="67" t="s">
        <v>136</v>
      </c>
      <c r="E29" s="61" t="s">
        <v>47</v>
      </c>
    </row>
    <row r="30" spans="2:5" ht="19.899999999999999" customHeight="1">
      <c r="B30" s="60"/>
      <c r="C30" s="61" t="s">
        <v>78</v>
      </c>
      <c r="D30" s="67" t="s">
        <v>137</v>
      </c>
      <c r="E30" s="61"/>
    </row>
    <row r="31" spans="2:5" ht="19.899999999999999" customHeight="1">
      <c r="B31" s="60"/>
      <c r="C31" s="61" t="s">
        <v>78</v>
      </c>
      <c r="D31" s="67"/>
      <c r="E31" s="61"/>
    </row>
    <row r="32" spans="2:5" ht="19.899999999999999" customHeight="1">
      <c r="B32" s="60"/>
      <c r="C32" s="61"/>
      <c r="D32" s="58"/>
      <c r="E32" s="61"/>
    </row>
    <row r="33" spans="2:5" ht="19.899999999999999" customHeight="1">
      <c r="B33" s="61"/>
      <c r="C33" s="61"/>
      <c r="D33" s="61"/>
      <c r="E33" s="61"/>
    </row>
  </sheetData>
  <sheetProtection sheet="1" objects="1" scenarios="1"/>
  <mergeCells count="1">
    <mergeCell ref="B3:E3"/>
  </mergeCells>
  <phoneticPr fontId="1"/>
  <printOptions horizontalCentered="1"/>
  <pageMargins left="0.39370078740157483" right="0.39370078740157483" top="0.39370078740157483" bottom="0.39370078740157483" header="0" footer="0"/>
  <pageSetup paperSize="9" scale="86" orientation="portrait" horizontalDpi="4294967292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8AB047-1BE2-4785-93E2-2FB4F516FD41}">
  <sheetPr>
    <pageSetUpPr fitToPage="1"/>
  </sheetPr>
  <dimension ref="A1:R26"/>
  <sheetViews>
    <sheetView showZeros="0" view="pageLayout" zoomScaleNormal="100" workbookViewId="0">
      <selection activeCell="A2" sqref="A2"/>
    </sheetView>
  </sheetViews>
  <sheetFormatPr defaultColWidth="2.375" defaultRowHeight="28.15" customHeight="1"/>
  <cols>
    <col min="1" max="5" width="5.5" style="1" customWidth="1"/>
    <col min="6" max="6" width="2.25" style="1" customWidth="1"/>
    <col min="7" max="8" width="5" style="1" customWidth="1"/>
    <col min="9" max="9" width="1.375" style="1" customWidth="1"/>
    <col min="10" max="10" width="5" style="1" customWidth="1"/>
    <col min="11" max="11" width="1.375" style="1" customWidth="1"/>
    <col min="12" max="13" width="6.875" style="1" customWidth="1"/>
    <col min="14" max="14" width="2.25" style="1" customWidth="1"/>
    <col min="15" max="18" width="5.5" style="1" customWidth="1"/>
    <col min="19" max="19" width="6" style="1" customWidth="1"/>
    <col min="20" max="16384" width="2.375" style="1"/>
  </cols>
  <sheetData>
    <row r="1" spans="1:18" ht="11.25" customHeight="1"/>
    <row r="2" spans="1:18" ht="28.15" customHeight="1">
      <c r="B2" s="1" t="str">
        <f>'入力（門徒情報）'!D5&amp;" "&amp;'入力（門徒情報）'!D6&amp;" 様"</f>
        <v>長谷川 勘右ヱ門 様</v>
      </c>
      <c r="D2" s="2"/>
      <c r="G2" s="3"/>
      <c r="H2" s="3"/>
    </row>
    <row r="3" spans="1:18" s="4" customFormat="1" ht="16.899999999999999" customHeight="1">
      <c r="D3" s="5"/>
      <c r="F3" s="101"/>
      <c r="G3" s="102" t="s">
        <v>83</v>
      </c>
      <c r="H3" s="102" t="s">
        <v>84</v>
      </c>
      <c r="J3" s="93" t="s">
        <v>18</v>
      </c>
      <c r="L3" s="108" t="str">
        <f>'入力（門徒情報）'!D16</f>
        <v>けん</v>
      </c>
      <c r="M3" s="108" t="str">
        <f>'入力（門徒情報）'!D17</f>
        <v>しょう</v>
      </c>
      <c r="N3" s="93"/>
    </row>
    <row r="4" spans="1:18" ht="28.15" customHeight="1" thickBot="1">
      <c r="D4" s="96"/>
      <c r="F4" s="6"/>
      <c r="G4" s="103" t="s">
        <v>81</v>
      </c>
      <c r="H4" s="103" t="s">
        <v>82</v>
      </c>
      <c r="I4" s="6"/>
      <c r="J4" s="95" t="s">
        <v>19</v>
      </c>
      <c r="K4" s="6"/>
      <c r="L4" s="94" t="str">
        <f>'入力（門徒情報）'!D14</f>
        <v>顯</v>
      </c>
      <c r="M4" s="94" t="str">
        <f>'入力（門徒情報）'!D15</f>
        <v>證</v>
      </c>
      <c r="N4" s="95"/>
      <c r="P4" s="96"/>
    </row>
    <row r="5" spans="1:18" s="4" customFormat="1" ht="31.15" customHeight="1" thickTop="1">
      <c r="A5" s="175" t="str">
        <f>"俗名 " &amp;'入力（門徒情報）'!D19&amp;" "&amp;'入力（門徒情報）'!D20&amp;" 様"</f>
        <v>俗名 長谷川 弥惣兵衛 様</v>
      </c>
      <c r="B5" s="175"/>
      <c r="C5" s="175"/>
      <c r="D5" s="175"/>
      <c r="E5" s="175"/>
      <c r="F5" s="175"/>
      <c r="G5" s="175"/>
      <c r="H5" s="176" t="str">
        <f>TEXT('入力（門徒情報）'!D24,"yyyy年mm月dd日")&amp;"ご往生"</f>
        <v>2018年10月18日ご往生</v>
      </c>
      <c r="I5" s="176"/>
      <c r="J5" s="176"/>
      <c r="K5" s="176"/>
      <c r="L5" s="176"/>
      <c r="M5" s="176"/>
      <c r="N5" s="176"/>
      <c r="O5" s="172" t="str">
        <f>"行年" &amp;'入力（門徒情報）'!D25&amp;"歳"</f>
        <v>行年８３歳</v>
      </c>
      <c r="P5" s="172"/>
      <c r="Q5" s="172"/>
      <c r="R5" s="172"/>
    </row>
    <row r="6" spans="1:18" ht="39.6" customHeight="1"/>
    <row r="7" spans="1:18" ht="32.65" customHeight="1">
      <c r="G7" s="171">
        <f>'入力（門徒情報）'!D24+6</f>
        <v>43397</v>
      </c>
      <c r="H7" s="171"/>
      <c r="I7" s="171"/>
      <c r="J7" s="171"/>
      <c r="K7" s="171"/>
      <c r="L7" s="171"/>
      <c r="M7" s="171"/>
    </row>
    <row r="8" spans="1:18" ht="32.65" customHeight="1">
      <c r="G8" s="171">
        <f>'入力（門徒情報）'!D24+13</f>
        <v>43404</v>
      </c>
      <c r="H8" s="171"/>
      <c r="I8" s="171"/>
      <c r="J8" s="171"/>
      <c r="K8" s="171"/>
      <c r="L8" s="171"/>
      <c r="M8" s="171"/>
    </row>
    <row r="9" spans="1:18" ht="32.65" customHeight="1">
      <c r="G9" s="171">
        <f>'入力（門徒情報）'!D24+20</f>
        <v>43411</v>
      </c>
      <c r="H9" s="171"/>
      <c r="I9" s="171"/>
      <c r="J9" s="171"/>
      <c r="K9" s="171"/>
      <c r="L9" s="171"/>
      <c r="M9" s="171"/>
    </row>
    <row r="10" spans="1:18" ht="33.200000000000003" customHeight="1">
      <c r="G10" s="171">
        <f>'入力（門徒情報）'!D24+27</f>
        <v>43418</v>
      </c>
      <c r="H10" s="171"/>
      <c r="I10" s="171"/>
      <c r="J10" s="171"/>
      <c r="K10" s="171"/>
      <c r="L10" s="171"/>
      <c r="M10" s="171"/>
    </row>
    <row r="11" spans="1:18" ht="33.200000000000003" customHeight="1">
      <c r="G11" s="171">
        <f>EDATE('入力（門徒情報）'!D24,1)</f>
        <v>43422</v>
      </c>
      <c r="H11" s="171"/>
      <c r="I11" s="171"/>
      <c r="J11" s="171"/>
      <c r="K11" s="171"/>
      <c r="L11" s="171"/>
      <c r="M11" s="171"/>
    </row>
    <row r="12" spans="1:18" ht="33.200000000000003" customHeight="1">
      <c r="G12" s="171">
        <f>'入力（門徒情報）'!D24+34</f>
        <v>43425</v>
      </c>
      <c r="H12" s="171"/>
      <c r="I12" s="171"/>
      <c r="J12" s="171"/>
      <c r="K12" s="171"/>
      <c r="L12" s="171"/>
      <c r="M12" s="171"/>
    </row>
    <row r="13" spans="1:18" ht="33.200000000000003" customHeight="1">
      <c r="G13" s="171">
        <f>'入力（門徒情報）'!D24+41</f>
        <v>43432</v>
      </c>
      <c r="H13" s="171"/>
      <c r="I13" s="171"/>
      <c r="J13" s="171"/>
      <c r="K13" s="171"/>
      <c r="L13" s="171"/>
      <c r="M13" s="171"/>
    </row>
    <row r="14" spans="1:18" ht="33.200000000000003" customHeight="1">
      <c r="G14" s="171">
        <f>'入力（門徒情報）'!D24+48</f>
        <v>43439</v>
      </c>
      <c r="H14" s="171"/>
      <c r="I14" s="171"/>
      <c r="J14" s="171"/>
      <c r="K14" s="171"/>
      <c r="L14" s="171"/>
      <c r="M14" s="171"/>
    </row>
    <row r="15" spans="1:18" ht="33.200000000000003" customHeight="1">
      <c r="G15" s="171">
        <f>'入力（門徒情報）'!D24+99</f>
        <v>43490</v>
      </c>
      <c r="H15" s="171"/>
      <c r="I15" s="171"/>
      <c r="J15" s="171"/>
      <c r="K15" s="171"/>
      <c r="L15" s="171"/>
      <c r="M15" s="171"/>
    </row>
    <row r="16" spans="1:18" ht="26.85" customHeight="1"/>
    <row r="17" spans="2:17" ht="26.85" customHeight="1"/>
    <row r="18" spans="2:17" ht="26.85" customHeight="1">
      <c r="G18" s="174">
        <f>EDATE('入力（門徒情報）'!D24,12)</f>
        <v>43756</v>
      </c>
      <c r="H18" s="174"/>
      <c r="I18" s="174"/>
      <c r="J18" s="174"/>
      <c r="K18" s="174"/>
      <c r="L18" s="174"/>
      <c r="M18" s="174"/>
    </row>
    <row r="19" spans="2:17" ht="27.75" customHeight="1">
      <c r="G19" s="174">
        <f>EDATE('入力（門徒情報）'!D24,24)</f>
        <v>44122</v>
      </c>
      <c r="H19" s="174"/>
      <c r="I19" s="174"/>
      <c r="J19" s="174"/>
      <c r="K19" s="174"/>
      <c r="L19" s="174"/>
      <c r="M19" s="174"/>
    </row>
    <row r="20" spans="2:17" ht="27.75" customHeight="1">
      <c r="G20" s="174">
        <f>EDATE('入力（門徒情報）'!D24,72)</f>
        <v>45583</v>
      </c>
      <c r="H20" s="174"/>
      <c r="I20" s="174"/>
      <c r="J20" s="174"/>
      <c r="K20" s="174"/>
      <c r="L20" s="174"/>
      <c r="M20" s="174"/>
    </row>
    <row r="21" spans="2:17" ht="27.75" customHeight="1">
      <c r="G21" s="174">
        <f>EDATE('入力（門徒情報）'!D24,144)</f>
        <v>47774</v>
      </c>
      <c r="H21" s="174"/>
      <c r="I21" s="174"/>
      <c r="J21" s="174"/>
      <c r="K21" s="174"/>
      <c r="L21" s="174"/>
      <c r="M21" s="174"/>
    </row>
    <row r="22" spans="2:17" ht="26.85" customHeight="1">
      <c r="G22" s="174">
        <f>EDATE('入力（門徒情報）'!D24,192)</f>
        <v>49235</v>
      </c>
      <c r="H22" s="174"/>
      <c r="I22" s="174"/>
      <c r="J22" s="174"/>
      <c r="K22" s="174"/>
      <c r="L22" s="174"/>
      <c r="M22" s="174"/>
    </row>
    <row r="23" spans="2:17" ht="27.75" customHeight="1">
      <c r="G23" s="174">
        <f>EDATE('入力（門徒情報）'!D24,288)</f>
        <v>52157</v>
      </c>
      <c r="H23" s="174"/>
      <c r="I23" s="174"/>
      <c r="J23" s="174"/>
      <c r="K23" s="174"/>
      <c r="L23" s="174"/>
      <c r="M23" s="174"/>
    </row>
    <row r="24" spans="2:17" ht="27.75" customHeight="1">
      <c r="G24" s="174">
        <f>EDATE('入力（門徒情報）'!D24,384)</f>
        <v>55079</v>
      </c>
      <c r="H24" s="174"/>
      <c r="I24" s="174"/>
      <c r="J24" s="174"/>
      <c r="K24" s="174"/>
      <c r="L24" s="174"/>
      <c r="M24" s="174"/>
    </row>
    <row r="25" spans="2:17" ht="27.75" customHeight="1">
      <c r="G25" s="174">
        <f>EDATE('入力（門徒情報）'!D24,588)</f>
        <v>61288</v>
      </c>
      <c r="H25" s="174"/>
      <c r="I25" s="174"/>
      <c r="J25" s="174"/>
      <c r="K25" s="174"/>
      <c r="L25" s="174"/>
      <c r="M25" s="174"/>
    </row>
    <row r="26" spans="2:17" ht="28.15" customHeight="1">
      <c r="B26" s="173" t="str">
        <f>'入力（寺院情報）'!D5&amp;"　"&amp;'入力（寺院情報）'!D6&amp;"　"&amp;'入力（寺院情報）'!D12</f>
        <v>浄土真宗 本願寺派 河久保山　道場寺　０７７９－８７－０３２０</v>
      </c>
      <c r="C26" s="173"/>
      <c r="D26" s="173"/>
      <c r="E26" s="173"/>
      <c r="F26" s="173"/>
      <c r="G26" s="173"/>
      <c r="H26" s="173"/>
      <c r="I26" s="173"/>
      <c r="J26" s="173"/>
      <c r="K26" s="173"/>
      <c r="L26" s="173"/>
      <c r="M26" s="173"/>
      <c r="N26" s="173"/>
      <c r="O26" s="173"/>
      <c r="P26" s="173"/>
      <c r="Q26" s="173"/>
    </row>
  </sheetData>
  <sheetProtection sheet="1" objects="1" scenarios="1"/>
  <mergeCells count="21">
    <mergeCell ref="B26:Q26"/>
    <mergeCell ref="G24:M24"/>
    <mergeCell ref="G25:M25"/>
    <mergeCell ref="A5:G5"/>
    <mergeCell ref="H5:N5"/>
    <mergeCell ref="G18:M18"/>
    <mergeCell ref="G19:M19"/>
    <mergeCell ref="G20:M20"/>
    <mergeCell ref="G21:M21"/>
    <mergeCell ref="G22:M22"/>
    <mergeCell ref="G23:M23"/>
    <mergeCell ref="G10:M10"/>
    <mergeCell ref="G11:M11"/>
    <mergeCell ref="G12:M12"/>
    <mergeCell ref="G13:M13"/>
    <mergeCell ref="G14:M14"/>
    <mergeCell ref="G15:M15"/>
    <mergeCell ref="G7:M7"/>
    <mergeCell ref="G8:M8"/>
    <mergeCell ref="G9:M9"/>
    <mergeCell ref="O5:R5"/>
  </mergeCells>
  <phoneticPr fontId="1"/>
  <pageMargins left="0.39370078740157483" right="0.39370078740157483" top="0.39370078740157483" bottom="0" header="0.39370078740157483" footer="0.39370078740157483"/>
  <pageSetup paperSize="9" orientation="portrait" horizontalDpi="4294967292" verticalDpi="2400" r:id="rId1"/>
  <headerFooter scaleWithDoc="0">
    <oddHeader>&amp;L&amp;G</oddHeader>
  </headerFooter>
  <legacyDrawingHF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E0A266-D4A5-4707-9152-36B09F2BB23A}">
  <sheetPr>
    <pageSetUpPr fitToPage="1"/>
  </sheetPr>
  <dimension ref="A1:Q26"/>
  <sheetViews>
    <sheetView showZeros="0" view="pageLayout" zoomScaleNormal="100" workbookViewId="0">
      <selection activeCell="A2" sqref="A2"/>
    </sheetView>
  </sheetViews>
  <sheetFormatPr defaultColWidth="5.5" defaultRowHeight="28.15" customHeight="1"/>
  <cols>
    <col min="1" max="2" width="6.875" style="1" customWidth="1"/>
    <col min="3" max="3" width="6.625" style="1" customWidth="1"/>
    <col min="4" max="4" width="2.25" style="1" customWidth="1"/>
    <col min="5" max="6" width="6.875" style="1" customWidth="1"/>
    <col min="7" max="7" width="1.375" style="1" customWidth="1"/>
    <col min="8" max="8" width="5" style="1" customWidth="1"/>
    <col min="9" max="9" width="3.125" style="1" customWidth="1"/>
    <col min="10" max="10" width="5" style="1" customWidth="1"/>
    <col min="11" max="11" width="1.375" style="1" customWidth="1"/>
    <col min="12" max="13" width="6.875" style="1" customWidth="1"/>
    <col min="14" max="14" width="2.25" style="1" customWidth="1"/>
    <col min="15" max="16384" width="5.5" style="1"/>
  </cols>
  <sheetData>
    <row r="1" spans="1:17" ht="11.25" customHeight="1"/>
    <row r="2" spans="1:17" ht="28.15" customHeight="1">
      <c r="B2" s="1" t="str">
        <f>'入力（門徒情報）'!D5&amp;" "&amp;'入力（門徒情報）'!D6&amp;" 様"</f>
        <v>長谷川 勘右ヱ門 様</v>
      </c>
      <c r="C2" s="2"/>
      <c r="F2" s="3"/>
      <c r="G2" s="3"/>
    </row>
    <row r="3" spans="1:17" s="4" customFormat="1" ht="16.899999999999999" customHeight="1">
      <c r="C3" s="5"/>
      <c r="E3" s="106" t="str">
        <f>'入力（門徒情報）'!D11</f>
        <v>おう</v>
      </c>
      <c r="F3" s="106" t="str">
        <f>'入力（門徒情報）'!D12</f>
        <v>ほう</v>
      </c>
      <c r="G3" s="92"/>
      <c r="H3" s="93" t="s">
        <v>20</v>
      </c>
      <c r="I3" s="93"/>
      <c r="J3" s="93" t="s">
        <v>18</v>
      </c>
      <c r="K3" s="93"/>
      <c r="L3" s="106" t="str">
        <f>'入力（門徒情報）'!D16</f>
        <v>けん</v>
      </c>
      <c r="M3" s="106" t="str">
        <f>'入力（門徒情報）'!D17</f>
        <v>しょう</v>
      </c>
    </row>
    <row r="4" spans="1:17" ht="28.15" customHeight="1" thickBot="1">
      <c r="C4" s="96"/>
      <c r="D4" s="6"/>
      <c r="E4" s="94" t="str">
        <f>'入力（門徒情報）'!D9</f>
        <v>應</v>
      </c>
      <c r="F4" s="94" t="str">
        <f>'入力（門徒情報）'!D10</f>
        <v>報</v>
      </c>
      <c r="G4" s="94"/>
      <c r="H4" s="95" t="s">
        <v>21</v>
      </c>
      <c r="I4" s="95"/>
      <c r="J4" s="95" t="s">
        <v>19</v>
      </c>
      <c r="K4" s="95"/>
      <c r="L4" s="94" t="str">
        <f>'入力（門徒情報）'!D14</f>
        <v>顯</v>
      </c>
      <c r="M4" s="94" t="str">
        <f>'入力（門徒情報）'!D15</f>
        <v>證</v>
      </c>
      <c r="N4" s="6"/>
    </row>
    <row r="5" spans="1:17" s="4" customFormat="1" ht="31.15" customHeight="1" thickTop="1">
      <c r="A5" s="175" t="str">
        <f>"俗名 " &amp;'入力（門徒情報）'!D19&amp;" "&amp;'入力（門徒情報）'!D20&amp;" 様"</f>
        <v>俗名 長谷川 弥惣兵衛 様</v>
      </c>
      <c r="B5" s="175"/>
      <c r="C5" s="175"/>
      <c r="D5" s="175"/>
      <c r="E5" s="175"/>
      <c r="F5" s="175"/>
      <c r="G5" s="180" t="str">
        <f>TEXT('入力（門徒情報）'!D24,"yyyy年mm月dd日")&amp;"ご往生"</f>
        <v>2018年10月18日ご往生</v>
      </c>
      <c r="H5" s="180"/>
      <c r="I5" s="180"/>
      <c r="J5" s="180"/>
      <c r="K5" s="180"/>
      <c r="L5" s="180"/>
      <c r="M5" s="180"/>
      <c r="N5" s="179" t="str">
        <f>"行年" &amp;'入力（門徒情報）'!D25&amp;"歳"</f>
        <v>行年８３歳</v>
      </c>
      <c r="O5" s="179"/>
      <c r="P5" s="179"/>
      <c r="Q5" s="179"/>
    </row>
    <row r="6" spans="1:17" ht="39.6" customHeight="1"/>
    <row r="7" spans="1:17" ht="32.65" customHeight="1">
      <c r="F7" s="178">
        <f>'入力（門徒情報）'!D24+6</f>
        <v>43397</v>
      </c>
      <c r="G7" s="178"/>
      <c r="H7" s="178"/>
      <c r="I7" s="178"/>
      <c r="J7" s="178"/>
      <c r="K7" s="178"/>
      <c r="L7" s="178"/>
    </row>
    <row r="8" spans="1:17" ht="32.65" customHeight="1">
      <c r="F8" s="178">
        <f>'入力（門徒情報）'!D24+13</f>
        <v>43404</v>
      </c>
      <c r="G8" s="178"/>
      <c r="H8" s="178"/>
      <c r="I8" s="178"/>
      <c r="J8" s="178"/>
      <c r="K8" s="178"/>
      <c r="L8" s="178"/>
    </row>
    <row r="9" spans="1:17" ht="32.65" customHeight="1">
      <c r="F9" s="178">
        <f>'入力（門徒情報）'!D24+20</f>
        <v>43411</v>
      </c>
      <c r="G9" s="178"/>
      <c r="H9" s="178"/>
      <c r="I9" s="178"/>
      <c r="J9" s="178"/>
      <c r="K9" s="178"/>
      <c r="L9" s="178"/>
    </row>
    <row r="10" spans="1:17" ht="33.200000000000003" customHeight="1">
      <c r="F10" s="178">
        <f>'入力（門徒情報）'!D24+27</f>
        <v>43418</v>
      </c>
      <c r="G10" s="178"/>
      <c r="H10" s="178"/>
      <c r="I10" s="178"/>
      <c r="J10" s="178"/>
      <c r="K10" s="178"/>
      <c r="L10" s="178"/>
    </row>
    <row r="11" spans="1:17" ht="33.200000000000003" customHeight="1">
      <c r="F11" s="178">
        <f>EDATE('入力（門徒情報）'!D24,1)</f>
        <v>43422</v>
      </c>
      <c r="G11" s="178"/>
      <c r="H11" s="178"/>
      <c r="I11" s="178"/>
      <c r="J11" s="178"/>
      <c r="K11" s="178"/>
      <c r="L11" s="178"/>
    </row>
    <row r="12" spans="1:17" ht="33.200000000000003" customHeight="1">
      <c r="F12" s="178">
        <f>'入力（門徒情報）'!D24+34</f>
        <v>43425</v>
      </c>
      <c r="G12" s="178"/>
      <c r="H12" s="178"/>
      <c r="I12" s="178"/>
      <c r="J12" s="178"/>
      <c r="K12" s="178"/>
      <c r="L12" s="178"/>
    </row>
    <row r="13" spans="1:17" ht="33.200000000000003" customHeight="1">
      <c r="F13" s="178">
        <f>'入力（門徒情報）'!D24+41</f>
        <v>43432</v>
      </c>
      <c r="G13" s="178"/>
      <c r="H13" s="178"/>
      <c r="I13" s="178"/>
      <c r="J13" s="178"/>
      <c r="K13" s="178"/>
      <c r="L13" s="178"/>
    </row>
    <row r="14" spans="1:17" ht="33.200000000000003" customHeight="1">
      <c r="F14" s="178">
        <f>'入力（門徒情報）'!D24+48</f>
        <v>43439</v>
      </c>
      <c r="G14" s="178"/>
      <c r="H14" s="178"/>
      <c r="I14" s="178"/>
      <c r="J14" s="178"/>
      <c r="K14" s="178"/>
      <c r="L14" s="178"/>
    </row>
    <row r="15" spans="1:17" ht="33.200000000000003" customHeight="1">
      <c r="F15" s="178">
        <f>'入力（門徒情報）'!D24+99</f>
        <v>43490</v>
      </c>
      <c r="G15" s="178"/>
      <c r="H15" s="178"/>
      <c r="I15" s="178"/>
      <c r="J15" s="178"/>
      <c r="K15" s="178"/>
      <c r="L15" s="178"/>
    </row>
    <row r="16" spans="1:17" ht="26.85" customHeight="1"/>
    <row r="17" spans="2:17" ht="26.85" customHeight="1"/>
    <row r="18" spans="2:17" ht="26.85" customHeight="1">
      <c r="F18" s="177">
        <f>EDATE('入力（門徒情報）'!D24,12)</f>
        <v>43756</v>
      </c>
      <c r="G18" s="177"/>
      <c r="H18" s="177"/>
      <c r="I18" s="177"/>
      <c r="J18" s="177"/>
      <c r="K18" s="177"/>
      <c r="L18" s="177"/>
    </row>
    <row r="19" spans="2:17" ht="27.75" customHeight="1">
      <c r="F19" s="177">
        <f>EDATE('入力（門徒情報）'!D24,24)</f>
        <v>44122</v>
      </c>
      <c r="G19" s="177"/>
      <c r="H19" s="177"/>
      <c r="I19" s="177"/>
      <c r="J19" s="177"/>
      <c r="K19" s="177"/>
      <c r="L19" s="177"/>
    </row>
    <row r="20" spans="2:17" ht="27.75" customHeight="1">
      <c r="F20" s="177">
        <f>EDATE('入力（門徒情報）'!D24,72)</f>
        <v>45583</v>
      </c>
      <c r="G20" s="177"/>
      <c r="H20" s="177"/>
      <c r="I20" s="177"/>
      <c r="J20" s="177"/>
      <c r="K20" s="177"/>
      <c r="L20" s="177"/>
    </row>
    <row r="21" spans="2:17" ht="27.75" customHeight="1">
      <c r="F21" s="177">
        <f>EDATE('入力（門徒情報）'!D24,144)</f>
        <v>47774</v>
      </c>
      <c r="G21" s="177"/>
      <c r="H21" s="177"/>
      <c r="I21" s="177"/>
      <c r="J21" s="177"/>
      <c r="K21" s="177"/>
      <c r="L21" s="177"/>
    </row>
    <row r="22" spans="2:17" ht="26.85" customHeight="1">
      <c r="F22" s="177">
        <f>EDATE('入力（門徒情報）'!D24,192)</f>
        <v>49235</v>
      </c>
      <c r="G22" s="177"/>
      <c r="H22" s="177"/>
      <c r="I22" s="177"/>
      <c r="J22" s="177"/>
      <c r="K22" s="177"/>
      <c r="L22" s="177"/>
    </row>
    <row r="23" spans="2:17" ht="27.75" customHeight="1">
      <c r="F23" s="177">
        <f>EDATE('入力（門徒情報）'!D24,288)</f>
        <v>52157</v>
      </c>
      <c r="G23" s="177"/>
      <c r="H23" s="177"/>
      <c r="I23" s="177"/>
      <c r="J23" s="177"/>
      <c r="K23" s="177"/>
      <c r="L23" s="177"/>
    </row>
    <row r="24" spans="2:17" ht="27.75" customHeight="1">
      <c r="F24" s="177">
        <f>EDATE('入力（門徒情報）'!D24,384)</f>
        <v>55079</v>
      </c>
      <c r="G24" s="177"/>
      <c r="H24" s="177"/>
      <c r="I24" s="177"/>
      <c r="J24" s="177"/>
      <c r="K24" s="177"/>
      <c r="L24" s="177"/>
    </row>
    <row r="25" spans="2:17" ht="27.75" customHeight="1">
      <c r="F25" s="177">
        <f>EDATE('入力（門徒情報）'!D24,588)</f>
        <v>61288</v>
      </c>
      <c r="G25" s="177"/>
      <c r="H25" s="177"/>
      <c r="I25" s="177"/>
      <c r="J25" s="177"/>
      <c r="K25" s="177"/>
      <c r="L25" s="177"/>
    </row>
    <row r="26" spans="2:17" ht="28.15" customHeight="1">
      <c r="B26" s="173" t="str">
        <f>'入力（寺院情報）'!D5&amp;"　"&amp;'入力（寺院情報）'!D6&amp;"　"&amp;'入力（寺院情報）'!D12</f>
        <v>浄土真宗 本願寺派 河久保山　道場寺　０７７９－８７－０３２０</v>
      </c>
      <c r="C26" s="173"/>
      <c r="D26" s="173"/>
      <c r="E26" s="173"/>
      <c r="F26" s="173"/>
      <c r="G26" s="173"/>
      <c r="H26" s="173"/>
      <c r="I26" s="173"/>
      <c r="J26" s="173"/>
      <c r="K26" s="173"/>
      <c r="L26" s="173"/>
      <c r="M26" s="173"/>
      <c r="N26" s="173"/>
      <c r="O26" s="173"/>
      <c r="P26" s="173"/>
      <c r="Q26" s="143"/>
    </row>
  </sheetData>
  <sheetProtection sheet="1" objects="1" scenarios="1"/>
  <mergeCells count="21">
    <mergeCell ref="B26:P26"/>
    <mergeCell ref="N5:Q5"/>
    <mergeCell ref="G5:M5"/>
    <mergeCell ref="F7:L7"/>
    <mergeCell ref="F8:L8"/>
    <mergeCell ref="F9:L9"/>
    <mergeCell ref="A5:F5"/>
    <mergeCell ref="F22:L22"/>
    <mergeCell ref="F23:L23"/>
    <mergeCell ref="F24:L24"/>
    <mergeCell ref="F25:L25"/>
    <mergeCell ref="F10:L10"/>
    <mergeCell ref="F11:L11"/>
    <mergeCell ref="F12:L12"/>
    <mergeCell ref="F13:L13"/>
    <mergeCell ref="F14:L14"/>
    <mergeCell ref="F18:L18"/>
    <mergeCell ref="F19:L19"/>
    <mergeCell ref="F20:L20"/>
    <mergeCell ref="F21:L21"/>
    <mergeCell ref="F15:L15"/>
  </mergeCells>
  <phoneticPr fontId="1"/>
  <pageMargins left="0.39370078740157483" right="0.39370078740157483" top="0.39370078740157483" bottom="0" header="0.39370078740157483" footer="0.39370078740157483"/>
  <pageSetup paperSize="9" orientation="portrait" horizontalDpi="4294967292" verticalDpi="2400" r:id="rId1"/>
  <headerFooter scaleWithDoc="0">
    <oddHeader>&amp;L&amp;G</oddHeader>
  </headerFooter>
  <legacyDrawingHF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8C8BE-C37A-4A7F-B93B-F27EB4AD4027}">
  <sheetPr>
    <pageSetUpPr fitToPage="1"/>
  </sheetPr>
  <dimension ref="A1:Q26"/>
  <sheetViews>
    <sheetView showZeros="0" view="pageLayout" zoomScaleNormal="100" workbookViewId="0">
      <selection activeCell="A2" sqref="A2"/>
    </sheetView>
  </sheetViews>
  <sheetFormatPr defaultColWidth="3.625" defaultRowHeight="28.15" customHeight="1"/>
  <cols>
    <col min="1" max="4" width="7.25" style="1" customWidth="1"/>
    <col min="5" max="5" width="2.25" style="1" customWidth="1"/>
    <col min="6" max="7" width="5" style="1" customWidth="1"/>
    <col min="8" max="8" width="1.375" style="1" customWidth="1"/>
    <col min="9" max="10" width="5" style="1" customWidth="1"/>
    <col min="11" max="11" width="1.375" style="1" customWidth="1"/>
    <col min="12" max="13" width="6.875" style="1" customWidth="1"/>
    <col min="14" max="14" width="2.25" style="1" customWidth="1"/>
    <col min="15" max="17" width="5.5" style="1" customWidth="1"/>
    <col min="18" max="18" width="6" style="1" customWidth="1"/>
    <col min="19" max="16384" width="3.625" style="1"/>
  </cols>
  <sheetData>
    <row r="1" spans="1:17" ht="11.25" customHeight="1"/>
    <row r="2" spans="1:17" ht="28.15" customHeight="1">
      <c r="B2" s="1" t="str">
        <f>'入力（門徒情報）'!D5&amp;" "&amp;'入力（門徒情報）'!D6&amp;" 様"</f>
        <v>長谷川 勘右ヱ門 様</v>
      </c>
      <c r="C2" s="2"/>
      <c r="F2" s="3"/>
      <c r="G2" s="3"/>
    </row>
    <row r="3" spans="1:17" s="4" customFormat="1" ht="16.899999999999999" customHeight="1">
      <c r="E3" s="101"/>
      <c r="F3" s="102" t="s">
        <v>83</v>
      </c>
      <c r="G3" s="102" t="s">
        <v>84</v>
      </c>
      <c r="I3" s="93" t="s">
        <v>18</v>
      </c>
      <c r="J3" s="93" t="s">
        <v>55</v>
      </c>
      <c r="L3" s="108" t="str">
        <f>'入力（門徒情報）'!D16</f>
        <v>けん</v>
      </c>
      <c r="M3" s="108" t="str">
        <f>'入力（門徒情報）'!D17</f>
        <v>しょう</v>
      </c>
      <c r="N3" s="93"/>
    </row>
    <row r="4" spans="1:17" ht="28.15" customHeight="1" thickBot="1">
      <c r="E4" s="6"/>
      <c r="F4" s="103" t="s">
        <v>81</v>
      </c>
      <c r="G4" s="103" t="s">
        <v>82</v>
      </c>
      <c r="H4" s="6"/>
      <c r="I4" s="95" t="s">
        <v>19</v>
      </c>
      <c r="J4" s="95" t="s">
        <v>54</v>
      </c>
      <c r="K4" s="6"/>
      <c r="L4" s="94" t="str">
        <f>'入力（門徒情報）'!D14</f>
        <v>顯</v>
      </c>
      <c r="M4" s="94" t="str">
        <f>'入力（門徒情報）'!D15</f>
        <v>證</v>
      </c>
      <c r="N4" s="95"/>
      <c r="O4" s="96"/>
    </row>
    <row r="5" spans="1:17" s="4" customFormat="1" ht="31.15" customHeight="1" thickTop="1">
      <c r="A5" s="175" t="str">
        <f>"俗名 " &amp;'入力（門徒情報）'!D19&amp;" "&amp;'入力（門徒情報）'!D20&amp;" 様"</f>
        <v>俗名 長谷川 弥惣兵衛 様</v>
      </c>
      <c r="B5" s="175"/>
      <c r="C5" s="175"/>
      <c r="D5" s="175"/>
      <c r="E5" s="175"/>
      <c r="F5" s="175"/>
      <c r="G5" s="184" t="str">
        <f>TEXT('入力（門徒情報）'!D24,"yyyy年mm月dd日")&amp;"ご往生"</f>
        <v>2018年10月18日ご往生</v>
      </c>
      <c r="H5" s="184"/>
      <c r="I5" s="184"/>
      <c r="J5" s="184"/>
      <c r="K5" s="184"/>
      <c r="L5" s="184"/>
      <c r="M5" s="184"/>
      <c r="N5" s="182" t="str">
        <f>"行年" &amp;'入力（門徒情報）'!D25&amp;"歳"</f>
        <v>行年８３歳</v>
      </c>
      <c r="O5" s="182"/>
      <c r="P5" s="182"/>
      <c r="Q5" s="182"/>
    </row>
    <row r="6" spans="1:17" ht="39.6" customHeight="1"/>
    <row r="7" spans="1:17" ht="32.65" customHeight="1">
      <c r="F7" s="181">
        <f>'入力（門徒情報）'!D24+6</f>
        <v>43397</v>
      </c>
      <c r="G7" s="181"/>
      <c r="H7" s="181"/>
      <c r="I7" s="181"/>
      <c r="J7" s="181"/>
      <c r="K7" s="181"/>
      <c r="L7" s="181"/>
    </row>
    <row r="8" spans="1:17" ht="32.65" customHeight="1">
      <c r="F8" s="181">
        <f>'入力（門徒情報）'!D24+13</f>
        <v>43404</v>
      </c>
      <c r="G8" s="181"/>
      <c r="H8" s="181"/>
      <c r="I8" s="181"/>
      <c r="J8" s="181"/>
      <c r="K8" s="181"/>
      <c r="L8" s="181"/>
    </row>
    <row r="9" spans="1:17" ht="32.65" customHeight="1">
      <c r="F9" s="181">
        <f>'入力（門徒情報）'!D24+20</f>
        <v>43411</v>
      </c>
      <c r="G9" s="181"/>
      <c r="H9" s="181"/>
      <c r="I9" s="181"/>
      <c r="J9" s="181"/>
      <c r="K9" s="181"/>
      <c r="L9" s="181"/>
    </row>
    <row r="10" spans="1:17" ht="33.200000000000003" customHeight="1">
      <c r="F10" s="181">
        <f>'入力（門徒情報）'!D24+27</f>
        <v>43418</v>
      </c>
      <c r="G10" s="181"/>
      <c r="H10" s="181"/>
      <c r="I10" s="181"/>
      <c r="J10" s="181"/>
      <c r="K10" s="181"/>
      <c r="L10" s="181"/>
    </row>
    <row r="11" spans="1:17" ht="33.200000000000003" customHeight="1">
      <c r="F11" s="181">
        <f>EDATE('入力（門徒情報）'!D24,1)</f>
        <v>43422</v>
      </c>
      <c r="G11" s="181"/>
      <c r="H11" s="181"/>
      <c r="I11" s="181"/>
      <c r="J11" s="181"/>
      <c r="K11" s="181"/>
      <c r="L11" s="181"/>
    </row>
    <row r="12" spans="1:17" ht="33.200000000000003" customHeight="1">
      <c r="F12" s="181">
        <f>'入力（門徒情報）'!D24+34</f>
        <v>43425</v>
      </c>
      <c r="G12" s="181"/>
      <c r="H12" s="181"/>
      <c r="I12" s="181"/>
      <c r="J12" s="181"/>
      <c r="K12" s="181"/>
      <c r="L12" s="181"/>
    </row>
    <row r="13" spans="1:17" ht="33.200000000000003" customHeight="1">
      <c r="F13" s="181">
        <f>'入力（門徒情報）'!D24+41</f>
        <v>43432</v>
      </c>
      <c r="G13" s="181"/>
      <c r="H13" s="181"/>
      <c r="I13" s="181"/>
      <c r="J13" s="181"/>
      <c r="K13" s="181"/>
      <c r="L13" s="181"/>
    </row>
    <row r="14" spans="1:17" ht="33.200000000000003" customHeight="1">
      <c r="F14" s="181">
        <f>'入力（門徒情報）'!D24+48</f>
        <v>43439</v>
      </c>
      <c r="G14" s="181"/>
      <c r="H14" s="181"/>
      <c r="I14" s="181"/>
      <c r="J14" s="181"/>
      <c r="K14" s="181"/>
      <c r="L14" s="181"/>
    </row>
    <row r="15" spans="1:17" ht="33.200000000000003" customHeight="1">
      <c r="F15" s="181">
        <f>'入力（門徒情報）'!D24+99</f>
        <v>43490</v>
      </c>
      <c r="G15" s="181"/>
      <c r="H15" s="181"/>
      <c r="I15" s="181"/>
      <c r="J15" s="181"/>
      <c r="K15" s="181"/>
      <c r="L15" s="181"/>
    </row>
    <row r="16" spans="1:17" ht="26.85" customHeight="1"/>
    <row r="17" spans="2:17" ht="26.85" customHeight="1"/>
    <row r="18" spans="2:17" ht="26.85" customHeight="1">
      <c r="F18" s="183">
        <f>EDATE('入力（門徒情報）'!D24,12)</f>
        <v>43756</v>
      </c>
      <c r="G18" s="183"/>
      <c r="H18" s="183"/>
      <c r="I18" s="183"/>
      <c r="J18" s="183"/>
      <c r="K18" s="183"/>
      <c r="L18" s="183"/>
    </row>
    <row r="19" spans="2:17" ht="27.75" customHeight="1">
      <c r="F19" s="183">
        <f>EDATE('入力（門徒情報）'!D24,24)</f>
        <v>44122</v>
      </c>
      <c r="G19" s="183"/>
      <c r="H19" s="183"/>
      <c r="I19" s="183"/>
      <c r="J19" s="183"/>
      <c r="K19" s="183"/>
      <c r="L19" s="183"/>
    </row>
    <row r="20" spans="2:17" ht="27.75" customHeight="1">
      <c r="F20" s="183">
        <f>EDATE('入力（門徒情報）'!D24,72)</f>
        <v>45583</v>
      </c>
      <c r="G20" s="183"/>
      <c r="H20" s="183"/>
      <c r="I20" s="183"/>
      <c r="J20" s="183"/>
      <c r="K20" s="183"/>
      <c r="L20" s="183"/>
    </row>
    <row r="21" spans="2:17" ht="27.75" customHeight="1">
      <c r="F21" s="183">
        <f>EDATE('入力（門徒情報）'!D24,144)</f>
        <v>47774</v>
      </c>
      <c r="G21" s="183"/>
      <c r="H21" s="183"/>
      <c r="I21" s="183"/>
      <c r="J21" s="183"/>
      <c r="K21" s="183"/>
      <c r="L21" s="183"/>
    </row>
    <row r="22" spans="2:17" ht="26.85" customHeight="1">
      <c r="F22" s="183">
        <f>EDATE('入力（門徒情報）'!D24,192)</f>
        <v>49235</v>
      </c>
      <c r="G22" s="183"/>
      <c r="H22" s="183"/>
      <c r="I22" s="183"/>
      <c r="J22" s="183"/>
      <c r="K22" s="183"/>
      <c r="L22" s="183"/>
    </row>
    <row r="23" spans="2:17" ht="27.75" customHeight="1">
      <c r="F23" s="183">
        <f>EDATE('入力（門徒情報）'!D24,288)</f>
        <v>52157</v>
      </c>
      <c r="G23" s="183"/>
      <c r="H23" s="183"/>
      <c r="I23" s="183"/>
      <c r="J23" s="183"/>
      <c r="K23" s="183"/>
      <c r="L23" s="183"/>
    </row>
    <row r="24" spans="2:17" ht="27.75" customHeight="1">
      <c r="F24" s="183">
        <f>EDATE('入力（門徒情報）'!D24,384)</f>
        <v>55079</v>
      </c>
      <c r="G24" s="183"/>
      <c r="H24" s="183"/>
      <c r="I24" s="183"/>
      <c r="J24" s="183"/>
      <c r="K24" s="183"/>
      <c r="L24" s="183"/>
    </row>
    <row r="25" spans="2:17" ht="27.75" customHeight="1">
      <c r="F25" s="183">
        <f>EDATE('入力（門徒情報）'!D24,588)</f>
        <v>61288</v>
      </c>
      <c r="G25" s="183"/>
      <c r="H25" s="183"/>
      <c r="I25" s="183"/>
      <c r="J25" s="183"/>
      <c r="K25" s="183"/>
      <c r="L25" s="183"/>
    </row>
    <row r="26" spans="2:17" ht="28.15" customHeight="1">
      <c r="B26" s="173" t="str">
        <f>'入力（寺院情報）'!D5&amp;"　"&amp;'入力（寺院情報）'!D6&amp;"　"&amp;'入力（寺院情報）'!D12</f>
        <v>浄土真宗 本願寺派 河久保山　道場寺　０７７９－８７－０３２０</v>
      </c>
      <c r="C26" s="173"/>
      <c r="D26" s="173"/>
      <c r="E26" s="173"/>
      <c r="F26" s="173"/>
      <c r="G26" s="173"/>
      <c r="H26" s="173"/>
      <c r="I26" s="173"/>
      <c r="J26" s="173"/>
      <c r="K26" s="173"/>
      <c r="L26" s="173"/>
      <c r="M26" s="173"/>
      <c r="N26" s="173"/>
      <c r="O26" s="173"/>
      <c r="P26" s="173"/>
      <c r="Q26" s="143"/>
    </row>
  </sheetData>
  <sheetProtection sheet="1" objects="1" scenarios="1"/>
  <mergeCells count="21">
    <mergeCell ref="B26:P26"/>
    <mergeCell ref="N5:Q5"/>
    <mergeCell ref="F24:L24"/>
    <mergeCell ref="F25:L25"/>
    <mergeCell ref="G5:M5"/>
    <mergeCell ref="F18:L18"/>
    <mergeCell ref="F19:L19"/>
    <mergeCell ref="F20:L20"/>
    <mergeCell ref="F21:L21"/>
    <mergeCell ref="F22:L22"/>
    <mergeCell ref="F23:L23"/>
    <mergeCell ref="F10:L10"/>
    <mergeCell ref="F11:L11"/>
    <mergeCell ref="F12:L12"/>
    <mergeCell ref="F13:L13"/>
    <mergeCell ref="F14:L14"/>
    <mergeCell ref="F15:L15"/>
    <mergeCell ref="A5:F5"/>
    <mergeCell ref="F7:L7"/>
    <mergeCell ref="F8:L8"/>
    <mergeCell ref="F9:L9"/>
  </mergeCells>
  <phoneticPr fontId="1"/>
  <pageMargins left="0.39370078740157483" right="0.39370078740157483" top="0.39370078740157483" bottom="0" header="0.39370078740157483" footer="0.39370078740157483"/>
  <pageSetup paperSize="9" orientation="portrait" horizontalDpi="4294967292" verticalDpi="2400" r:id="rId1"/>
  <headerFooter scaleWithDoc="0">
    <oddHeader>&amp;L&amp;G</oddHeader>
  </headerFooter>
  <legacyDrawingHF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6054B8-537A-4451-BE20-8DE84D8D5755}">
  <sheetPr>
    <pageSetUpPr fitToPage="1"/>
  </sheetPr>
  <dimension ref="A1:Q26"/>
  <sheetViews>
    <sheetView showZeros="0" view="pageLayout" zoomScaleNormal="100" workbookViewId="0">
      <selection activeCell="A2" sqref="A2"/>
    </sheetView>
  </sheetViews>
  <sheetFormatPr defaultColWidth="5.5" defaultRowHeight="28.15" customHeight="1"/>
  <cols>
    <col min="1" max="3" width="7.125" style="1" customWidth="1"/>
    <col min="4" max="4" width="2.25" style="1" customWidth="1"/>
    <col min="5" max="6" width="6.875" style="1" customWidth="1"/>
    <col min="7" max="7" width="1.375" style="1" customWidth="1"/>
    <col min="8" max="8" width="5" style="1" customWidth="1"/>
    <col min="9" max="9" width="3.125" style="1" customWidth="1"/>
    <col min="10" max="11" width="5" style="1" customWidth="1"/>
    <col min="12" max="12" width="1.375" style="1" customWidth="1"/>
    <col min="13" max="14" width="6.875" style="1" customWidth="1"/>
    <col min="15" max="15" width="2.25" style="1" customWidth="1"/>
    <col min="16" max="16384" width="5.5" style="1"/>
  </cols>
  <sheetData>
    <row r="1" spans="1:17" ht="11.25" customHeight="1"/>
    <row r="2" spans="1:17" ht="28.15" customHeight="1">
      <c r="B2" s="1" t="str">
        <f>'入力（門徒情報）'!D5&amp;" "&amp;'入力（門徒情報）'!D6&amp;" 様"</f>
        <v>長谷川 勘右ヱ門 様</v>
      </c>
      <c r="C2" s="2"/>
      <c r="F2" s="3"/>
      <c r="G2" s="3"/>
    </row>
    <row r="3" spans="1:17" s="4" customFormat="1" ht="16.899999999999999" customHeight="1">
      <c r="C3" s="5"/>
      <c r="E3" s="97" t="str">
        <f>'入力（門徒情報）'!D11</f>
        <v>おう</v>
      </c>
      <c r="F3" s="97" t="str">
        <f>'入力（門徒情報）'!D12</f>
        <v>ほう</v>
      </c>
      <c r="G3" s="92"/>
      <c r="H3" s="93" t="s">
        <v>20</v>
      </c>
      <c r="I3" s="93"/>
      <c r="J3" s="93" t="s">
        <v>18</v>
      </c>
      <c r="K3" s="93" t="s">
        <v>55</v>
      </c>
      <c r="L3" s="93"/>
      <c r="M3" s="97" t="str">
        <f>'入力（門徒情報）'!D16</f>
        <v>けん</v>
      </c>
      <c r="N3" s="97" t="str">
        <f>'入力（門徒情報）'!D17</f>
        <v>しょう</v>
      </c>
    </row>
    <row r="4" spans="1:17" ht="28.15" customHeight="1" thickBot="1">
      <c r="C4" s="96"/>
      <c r="D4" s="6"/>
      <c r="E4" s="94" t="str">
        <f>'入力（門徒情報）'!D9</f>
        <v>應</v>
      </c>
      <c r="F4" s="94" t="str">
        <f>'入力（門徒情報）'!D10</f>
        <v>報</v>
      </c>
      <c r="G4" s="94"/>
      <c r="H4" s="95" t="s">
        <v>21</v>
      </c>
      <c r="I4" s="95"/>
      <c r="J4" s="95" t="s">
        <v>19</v>
      </c>
      <c r="K4" s="95" t="s">
        <v>54</v>
      </c>
      <c r="L4" s="95"/>
      <c r="M4" s="94" t="str">
        <f>'入力（門徒情報）'!D14</f>
        <v>顯</v>
      </c>
      <c r="N4" s="94" t="str">
        <f>'入力（門徒情報）'!D15</f>
        <v>證</v>
      </c>
      <c r="O4" s="6"/>
    </row>
    <row r="5" spans="1:17" s="4" customFormat="1" ht="31.15" customHeight="1" thickTop="1">
      <c r="A5" s="175" t="str">
        <f>"俗名 " &amp;'入力（門徒情報）'!D19&amp;" "&amp;'入力（門徒情報）'!D20&amp;" 様"</f>
        <v>俗名 長谷川 弥惣兵衛 様</v>
      </c>
      <c r="B5" s="175"/>
      <c r="C5" s="175"/>
      <c r="D5" s="175"/>
      <c r="E5" s="175"/>
      <c r="F5" s="175"/>
      <c r="G5" s="180" t="str">
        <f>TEXT('入力（門徒情報）'!D24,"yyyy年mm月dd日")&amp;"ご往生"</f>
        <v>2018年10月18日ご往生</v>
      </c>
      <c r="H5" s="180"/>
      <c r="I5" s="180"/>
      <c r="J5" s="180"/>
      <c r="K5" s="180"/>
      <c r="L5" s="180"/>
      <c r="M5" s="180"/>
      <c r="N5" s="185" t="str">
        <f>"行年" &amp;'入力（門徒情報）'!D25&amp;"歳"</f>
        <v>行年８３歳</v>
      </c>
      <c r="O5" s="185"/>
      <c r="P5" s="185"/>
      <c r="Q5" s="185"/>
    </row>
    <row r="6" spans="1:17" ht="39.6" customHeight="1"/>
    <row r="7" spans="1:17" ht="32.65" customHeight="1">
      <c r="F7" s="178">
        <f>'入力（門徒情報）'!D24+6</f>
        <v>43397</v>
      </c>
      <c r="G7" s="178"/>
      <c r="H7" s="178"/>
      <c r="I7" s="178"/>
      <c r="J7" s="178"/>
      <c r="K7" s="178"/>
      <c r="L7" s="178"/>
    </row>
    <row r="8" spans="1:17" ht="32.65" customHeight="1">
      <c r="F8" s="178">
        <f>'入力（門徒情報）'!D24+13</f>
        <v>43404</v>
      </c>
      <c r="G8" s="178"/>
      <c r="H8" s="178"/>
      <c r="I8" s="178"/>
      <c r="J8" s="178"/>
      <c r="K8" s="178"/>
      <c r="L8" s="178"/>
    </row>
    <row r="9" spans="1:17" ht="32.65" customHeight="1">
      <c r="F9" s="178">
        <f>'入力（門徒情報）'!D24+20</f>
        <v>43411</v>
      </c>
      <c r="G9" s="178"/>
      <c r="H9" s="178"/>
      <c r="I9" s="178"/>
      <c r="J9" s="178"/>
      <c r="K9" s="178"/>
      <c r="L9" s="178"/>
    </row>
    <row r="10" spans="1:17" ht="33.200000000000003" customHeight="1">
      <c r="F10" s="178">
        <f>'入力（門徒情報）'!D24+27</f>
        <v>43418</v>
      </c>
      <c r="G10" s="178"/>
      <c r="H10" s="178"/>
      <c r="I10" s="178"/>
      <c r="J10" s="178"/>
      <c r="K10" s="178"/>
      <c r="L10" s="178"/>
    </row>
    <row r="11" spans="1:17" ht="33.200000000000003" customHeight="1">
      <c r="F11" s="178">
        <f>EDATE('入力（門徒情報）'!D24,1)</f>
        <v>43422</v>
      </c>
      <c r="G11" s="178"/>
      <c r="H11" s="178"/>
      <c r="I11" s="178"/>
      <c r="J11" s="178"/>
      <c r="K11" s="178"/>
      <c r="L11" s="178"/>
    </row>
    <row r="12" spans="1:17" ht="33.200000000000003" customHeight="1">
      <c r="F12" s="178">
        <f>'入力（門徒情報）'!D24+34</f>
        <v>43425</v>
      </c>
      <c r="G12" s="178"/>
      <c r="H12" s="178"/>
      <c r="I12" s="178"/>
      <c r="J12" s="178"/>
      <c r="K12" s="178"/>
      <c r="L12" s="178"/>
    </row>
    <row r="13" spans="1:17" ht="33.200000000000003" customHeight="1">
      <c r="F13" s="178">
        <f>'入力（門徒情報）'!D24+41</f>
        <v>43432</v>
      </c>
      <c r="G13" s="178"/>
      <c r="H13" s="178"/>
      <c r="I13" s="178"/>
      <c r="J13" s="178"/>
      <c r="K13" s="178"/>
      <c r="L13" s="178"/>
    </row>
    <row r="14" spans="1:17" ht="33.200000000000003" customHeight="1">
      <c r="F14" s="178">
        <f>'入力（門徒情報）'!D24+48</f>
        <v>43439</v>
      </c>
      <c r="G14" s="178"/>
      <c r="H14" s="178"/>
      <c r="I14" s="178"/>
      <c r="J14" s="178"/>
      <c r="K14" s="178"/>
      <c r="L14" s="178"/>
    </row>
    <row r="15" spans="1:17" ht="33.200000000000003" customHeight="1">
      <c r="F15" s="178">
        <f>'入力（門徒情報）'!D24+99</f>
        <v>43490</v>
      </c>
      <c r="G15" s="178"/>
      <c r="H15" s="178"/>
      <c r="I15" s="178"/>
      <c r="J15" s="178"/>
      <c r="K15" s="178"/>
      <c r="L15" s="178"/>
    </row>
    <row r="16" spans="1:17" ht="26.85" customHeight="1"/>
    <row r="17" spans="2:17" ht="26.85" customHeight="1"/>
    <row r="18" spans="2:17" ht="26.85" customHeight="1">
      <c r="F18" s="174">
        <f>EDATE('入力（門徒情報）'!D24,12)</f>
        <v>43756</v>
      </c>
      <c r="G18" s="174"/>
      <c r="H18" s="174"/>
      <c r="I18" s="174"/>
      <c r="J18" s="174"/>
      <c r="K18" s="174"/>
      <c r="L18" s="174"/>
    </row>
    <row r="19" spans="2:17" ht="27.75" customHeight="1">
      <c r="F19" s="174">
        <f>EDATE('入力（門徒情報）'!D24,24)</f>
        <v>44122</v>
      </c>
      <c r="G19" s="174"/>
      <c r="H19" s="174"/>
      <c r="I19" s="174"/>
      <c r="J19" s="174"/>
      <c r="K19" s="174"/>
      <c r="L19" s="174"/>
    </row>
    <row r="20" spans="2:17" ht="27.75" customHeight="1">
      <c r="F20" s="174">
        <f>EDATE('入力（門徒情報）'!D24,72)</f>
        <v>45583</v>
      </c>
      <c r="G20" s="174"/>
      <c r="H20" s="174"/>
      <c r="I20" s="174"/>
      <c r="J20" s="174"/>
      <c r="K20" s="174"/>
      <c r="L20" s="174"/>
    </row>
    <row r="21" spans="2:17" ht="27.75" customHeight="1">
      <c r="F21" s="174">
        <f>EDATE('入力（門徒情報）'!D24,144)</f>
        <v>47774</v>
      </c>
      <c r="G21" s="174"/>
      <c r="H21" s="174"/>
      <c r="I21" s="174"/>
      <c r="J21" s="174"/>
      <c r="K21" s="174"/>
      <c r="L21" s="174"/>
    </row>
    <row r="22" spans="2:17" ht="26.85" customHeight="1">
      <c r="F22" s="174">
        <f>EDATE('入力（門徒情報）'!D24,192)</f>
        <v>49235</v>
      </c>
      <c r="G22" s="174"/>
      <c r="H22" s="174"/>
      <c r="I22" s="174"/>
      <c r="J22" s="174"/>
      <c r="K22" s="174"/>
      <c r="L22" s="174"/>
    </row>
    <row r="23" spans="2:17" ht="27.75" customHeight="1">
      <c r="F23" s="174">
        <f>EDATE('入力（門徒情報）'!D24,288)</f>
        <v>52157</v>
      </c>
      <c r="G23" s="174"/>
      <c r="H23" s="174"/>
      <c r="I23" s="174"/>
      <c r="J23" s="174"/>
      <c r="K23" s="174"/>
      <c r="L23" s="174"/>
    </row>
    <row r="24" spans="2:17" ht="27.75" customHeight="1">
      <c r="F24" s="174">
        <f>EDATE('入力（門徒情報）'!D24,384)</f>
        <v>55079</v>
      </c>
      <c r="G24" s="174"/>
      <c r="H24" s="174"/>
      <c r="I24" s="174"/>
      <c r="J24" s="174"/>
      <c r="K24" s="174"/>
      <c r="L24" s="174"/>
    </row>
    <row r="25" spans="2:17" ht="27.75" customHeight="1">
      <c r="F25" s="174">
        <f>EDATE('入力（門徒情報）'!D24,588)</f>
        <v>61288</v>
      </c>
      <c r="G25" s="174"/>
      <c r="H25" s="174"/>
      <c r="I25" s="174"/>
      <c r="J25" s="174"/>
      <c r="K25" s="174"/>
      <c r="L25" s="174"/>
    </row>
    <row r="26" spans="2:17" ht="28.15" customHeight="1">
      <c r="B26" s="173" t="str">
        <f>'入力（寺院情報）'!D5&amp;"　"&amp;'入力（寺院情報）'!D6&amp;"　"&amp;'入力（寺院情報）'!D12</f>
        <v>浄土真宗 本願寺派 河久保山　道場寺　０７７９－８７－０３２０</v>
      </c>
      <c r="C26" s="173"/>
      <c r="D26" s="173"/>
      <c r="E26" s="173"/>
      <c r="F26" s="173"/>
      <c r="G26" s="173"/>
      <c r="H26" s="173"/>
      <c r="I26" s="173"/>
      <c r="J26" s="173"/>
      <c r="K26" s="173"/>
      <c r="L26" s="173"/>
      <c r="M26" s="173"/>
      <c r="N26" s="173"/>
      <c r="O26" s="173"/>
      <c r="P26" s="173"/>
      <c r="Q26" s="143"/>
    </row>
  </sheetData>
  <sheetProtection sheet="1" objects="1" scenarios="1"/>
  <mergeCells count="21">
    <mergeCell ref="B26:P26"/>
    <mergeCell ref="F21:L21"/>
    <mergeCell ref="F22:L22"/>
    <mergeCell ref="F23:L23"/>
    <mergeCell ref="F24:L24"/>
    <mergeCell ref="F25:L25"/>
    <mergeCell ref="N5:Q5"/>
    <mergeCell ref="A5:F5"/>
    <mergeCell ref="F7:L7"/>
    <mergeCell ref="G5:M5"/>
    <mergeCell ref="F8:L8"/>
    <mergeCell ref="F9:L9"/>
    <mergeCell ref="F10:L10"/>
    <mergeCell ref="F11:L11"/>
    <mergeCell ref="F12:L12"/>
    <mergeCell ref="F13:L13"/>
    <mergeCell ref="F14:L14"/>
    <mergeCell ref="F15:L15"/>
    <mergeCell ref="F18:L18"/>
    <mergeCell ref="F19:L19"/>
    <mergeCell ref="F20:L20"/>
  </mergeCells>
  <phoneticPr fontId="1"/>
  <pageMargins left="0.39370078740157483" right="0.39370078740157483" top="0.39370078740157483" bottom="0" header="0.39370078740157483" footer="0.39370078740157483"/>
  <pageSetup paperSize="9" orientation="portrait" horizontalDpi="4294967292" verticalDpi="2400" r:id="rId1"/>
  <headerFooter scaleWithDoc="0">
    <oddHeader>&amp;L&amp;G</oddHeader>
  </headerFooter>
  <legacyDrawingHF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52ED9D-4C60-44AF-9583-AE98665C5902}">
  <sheetPr>
    <pageSetUpPr fitToPage="1"/>
  </sheetPr>
  <dimension ref="B1:N20"/>
  <sheetViews>
    <sheetView showZeros="0" view="pageLayout" zoomScaleNormal="80" workbookViewId="0"/>
  </sheetViews>
  <sheetFormatPr defaultColWidth="8.25" defaultRowHeight="28.35" customHeight="1"/>
  <cols>
    <col min="1" max="1" width="8.25" style="11" customWidth="1"/>
    <col min="2" max="4" width="8.25" style="11"/>
    <col min="5" max="5" width="11.375" style="11" customWidth="1"/>
    <col min="6" max="6" width="12.25" style="11" customWidth="1"/>
    <col min="7" max="7" width="9.125" style="11" customWidth="1"/>
    <col min="8" max="16384" width="8.25" style="11"/>
  </cols>
  <sheetData>
    <row r="1" spans="2:14" ht="35.450000000000003" customHeight="1"/>
    <row r="2" spans="2:14" ht="16.899999999999999" customHeight="1">
      <c r="J2" s="12"/>
      <c r="K2" s="85" t="s">
        <v>18</v>
      </c>
      <c r="L2" s="8" t="str">
        <f>'入力（門徒情報）'!D16</f>
        <v>けん</v>
      </c>
      <c r="M2" s="10" t="str">
        <f>'入力（門徒情報）'!D17</f>
        <v>しょう</v>
      </c>
    </row>
    <row r="3" spans="2:14" ht="45.4" customHeight="1">
      <c r="J3" s="14"/>
      <c r="K3" s="86" t="s">
        <v>19</v>
      </c>
      <c r="L3" s="9" t="str">
        <f>'入力（門徒情報）'!D14</f>
        <v>顯</v>
      </c>
      <c r="M3" s="9" t="str">
        <f>'入力（門徒情報）'!D15</f>
        <v>證</v>
      </c>
    </row>
    <row r="4" spans="2:14" ht="17.100000000000001" customHeight="1">
      <c r="J4" s="194" t="str">
        <f>'入力（門徒情報）'!D21</f>
        <v>はせがわ</v>
      </c>
      <c r="K4" s="195"/>
      <c r="L4" s="194" t="str">
        <f>'入力（門徒情報）'!D22</f>
        <v>やそべえ</v>
      </c>
      <c r="M4" s="195"/>
    </row>
    <row r="5" spans="2:14" ht="42.6" customHeight="1">
      <c r="J5" s="196" t="str">
        <f>'入力（門徒情報）'!D19</f>
        <v>長谷川</v>
      </c>
      <c r="K5" s="197"/>
      <c r="L5" s="196" t="str">
        <f>'入力（門徒情報）'!D20</f>
        <v>弥惣兵衛</v>
      </c>
      <c r="M5" s="197"/>
    </row>
    <row r="6" spans="2:14" ht="33.950000000000003" customHeight="1">
      <c r="J6" s="198">
        <f>'入力（門徒情報）'!D24*1</f>
        <v>43391</v>
      </c>
      <c r="K6" s="198"/>
      <c r="L6" s="198"/>
      <c r="M6" s="191" t="str">
        <f>"行年" &amp;'入力（門徒情報）'!D25&amp;"歳"</f>
        <v>行年８３歳</v>
      </c>
      <c r="N6" s="191"/>
    </row>
    <row r="7" spans="2:14" ht="30.75" customHeight="1">
      <c r="E7" s="199" t="str">
        <f>'入力（寺院情報）'!D14</f>
        <v>第二無量寿堂
１階Ｂ－６６６号</v>
      </c>
      <c r="F7" s="200"/>
    </row>
    <row r="8" spans="2:14" ht="10.9" customHeight="1">
      <c r="J8" s="186" t="str">
        <f>'入力（門徒情報）'!D27</f>
        <v>９１０－０８０４</v>
      </c>
      <c r="K8" s="187"/>
    </row>
    <row r="9" spans="2:14" ht="30.75" customHeight="1">
      <c r="F9" s="157">
        <f>'入力（寺院情報）'!D15</f>
        <v>526</v>
      </c>
      <c r="I9" s="188" t="str">
        <f>'入力（門徒情報）'!D28</f>
        <v>福井市高木中央２丁目２２０８番
サニーハイツ高木３０２号</v>
      </c>
      <c r="J9" s="189"/>
      <c r="K9" s="189"/>
      <c r="L9" s="189"/>
      <c r="M9" s="189"/>
      <c r="N9" s="189"/>
    </row>
    <row r="10" spans="2:14" ht="36.4" customHeight="1">
      <c r="I10" s="189"/>
      <c r="J10" s="189"/>
      <c r="K10" s="189"/>
      <c r="L10" s="189"/>
      <c r="M10" s="189"/>
      <c r="N10" s="189"/>
    </row>
    <row r="11" spans="2:14" ht="19.899999999999999" customHeight="1">
      <c r="K11" s="190" t="str">
        <f>'入力（門徒情報）'!D29</f>
        <v>０７７６－５２－２９１９</v>
      </c>
      <c r="L11" s="191"/>
      <c r="M11" s="191"/>
      <c r="N11" s="191"/>
    </row>
    <row r="16" spans="2:14" ht="17.100000000000001" customHeight="1">
      <c r="B16" s="11" t="str">
        <f>"（　寺院番号　" &amp;'入力（寺院情報）'!D7&amp;"　）"</f>
        <v>（　寺院番号　１２－２３－４５　）</v>
      </c>
    </row>
    <row r="17" spans="2:6" ht="17.100000000000001" customHeight="1">
      <c r="C17" s="11" t="str">
        <f>'入力（寺院情報）'!D8&amp;"教区 "&amp;'入力（寺院情報）'!D9&amp;"組 "&amp;'入力（寺院情報）'!D6</f>
        <v>福井教区 吉田組 道場寺</v>
      </c>
      <c r="D17" s="149"/>
    </row>
    <row r="18" spans="2:6" ht="22.5" customHeight="1">
      <c r="E18" s="201" t="str">
        <f>'入力（寺院情報）'!D10</f>
        <v>水上 甚栄</v>
      </c>
      <c r="F18" s="201"/>
    </row>
    <row r="19" spans="2:6" ht="11.25" customHeight="1"/>
    <row r="20" spans="2:6" ht="28.35" customHeight="1">
      <c r="B20" s="192" t="str">
        <f>'入力（寺院情報）'!D16</f>
        <v>納骨容器の収蔵番号は 526 番です。</v>
      </c>
      <c r="C20" s="193"/>
      <c r="D20" s="193"/>
      <c r="E20" s="193"/>
      <c r="F20" s="193"/>
    </row>
  </sheetData>
  <sheetProtection sheet="1" objects="1" scenarios="1"/>
  <mergeCells count="12">
    <mergeCell ref="J8:K8"/>
    <mergeCell ref="I9:N10"/>
    <mergeCell ref="K11:N11"/>
    <mergeCell ref="B20:F20"/>
    <mergeCell ref="J4:K4"/>
    <mergeCell ref="L4:M4"/>
    <mergeCell ref="J5:K5"/>
    <mergeCell ref="L5:M5"/>
    <mergeCell ref="J6:L6"/>
    <mergeCell ref="M6:N6"/>
    <mergeCell ref="E7:F7"/>
    <mergeCell ref="E18:F18"/>
  </mergeCells>
  <phoneticPr fontId="1"/>
  <pageMargins left="0.39370078740157483" right="0.39370078740157483" top="0.39370078740157483" bottom="0.23622047244094491" header="0.27559055118110237" footer="0"/>
  <pageSetup paperSize="9" orientation="landscape" horizontalDpi="4294967292" r:id="rId1"/>
  <headerFooter scaleWithDoc="0">
    <oddHeader>&amp;L&amp;G</oddHeader>
  </headerFooter>
  <legacyDrawingHF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90422D-7BB0-479F-A459-CFC5DC66CF42}">
  <sheetPr>
    <pageSetUpPr fitToPage="1"/>
  </sheetPr>
  <dimension ref="B1:T20"/>
  <sheetViews>
    <sheetView showZeros="0" view="pageLayout" zoomScaleNormal="80" workbookViewId="0"/>
  </sheetViews>
  <sheetFormatPr defaultColWidth="7.375" defaultRowHeight="28.35" customHeight="1"/>
  <cols>
    <col min="1" max="4" width="8.25" style="11" customWidth="1"/>
    <col min="5" max="5" width="11.375" style="11" customWidth="1"/>
    <col min="6" max="6" width="12.25" style="11" customWidth="1"/>
    <col min="7" max="7" width="9.125" style="11" customWidth="1"/>
    <col min="8" max="8" width="8.25" style="11" customWidth="1"/>
    <col min="9" max="11" width="6.375" style="11" customWidth="1"/>
    <col min="12" max="12" width="1.375" style="11" customWidth="1"/>
    <col min="13" max="13" width="4.5" style="11" customWidth="1"/>
    <col min="14" max="14" width="2.25" style="11" customWidth="1"/>
    <col min="15" max="15" width="4.5" style="11" customWidth="1"/>
    <col min="16" max="16" width="1.375" style="11" customWidth="1"/>
    <col min="17" max="20" width="6.375" style="11" customWidth="1"/>
    <col min="21" max="21" width="5.5" style="11" customWidth="1"/>
    <col min="22" max="22" width="5" style="11" customWidth="1"/>
    <col min="23" max="16384" width="7.375" style="11"/>
  </cols>
  <sheetData>
    <row r="1" spans="2:20" ht="35.450000000000003" customHeight="1"/>
    <row r="2" spans="2:20" ht="16.899999999999999" customHeight="1">
      <c r="J2" s="107" t="str">
        <f>'入力（門徒情報）'!D11</f>
        <v>おう</v>
      </c>
      <c r="K2" s="107" t="str">
        <f>'入力（門徒情報）'!D12</f>
        <v>ほう</v>
      </c>
      <c r="L2" s="107"/>
      <c r="M2" s="90" t="s">
        <v>20</v>
      </c>
      <c r="O2" s="90" t="s">
        <v>18</v>
      </c>
      <c r="P2" s="90"/>
      <c r="Q2" s="106" t="str">
        <f>'入力（門徒情報）'!D16</f>
        <v>けん</v>
      </c>
      <c r="R2" s="106" t="str">
        <f>'入力（門徒情報）'!D17</f>
        <v>しょう</v>
      </c>
      <c r="S2" s="107"/>
    </row>
    <row r="3" spans="2:20" ht="45.4" customHeight="1">
      <c r="J3" s="13" t="str">
        <f>'入力（門徒情報）'!D9</f>
        <v>應</v>
      </c>
      <c r="K3" s="13" t="str">
        <f>'入力（門徒情報）'!D10</f>
        <v>報</v>
      </c>
      <c r="L3" s="13"/>
      <c r="M3" s="89" t="s">
        <v>21</v>
      </c>
      <c r="O3" s="89" t="s">
        <v>19</v>
      </c>
      <c r="P3" s="89"/>
      <c r="Q3" s="9" t="str">
        <f>'入力（門徒情報）'!D14</f>
        <v>顯</v>
      </c>
      <c r="R3" s="9" t="str">
        <f>'入力（門徒情報）'!D15</f>
        <v>證</v>
      </c>
      <c r="S3" s="13"/>
    </row>
    <row r="4" spans="2:20" ht="17.100000000000001" customHeight="1">
      <c r="J4" s="195" t="str">
        <f>'入力（門徒情報）'!D21</f>
        <v>はせがわ</v>
      </c>
      <c r="K4" s="195"/>
      <c r="L4" s="195"/>
      <c r="M4" s="195"/>
      <c r="N4" s="15"/>
      <c r="O4" s="195" t="str">
        <f>'入力（門徒情報）'!D22</f>
        <v>やそべえ</v>
      </c>
      <c r="P4" s="195"/>
      <c r="Q4" s="195"/>
      <c r="R4" s="195"/>
      <c r="S4" s="15"/>
    </row>
    <row r="5" spans="2:20" ht="42.6" customHeight="1">
      <c r="J5" s="197" t="str">
        <f>'入力（門徒情報）'!D19</f>
        <v>長谷川</v>
      </c>
      <c r="K5" s="197"/>
      <c r="L5" s="197"/>
      <c r="M5" s="197"/>
      <c r="N5" s="16"/>
      <c r="O5" s="197" t="str">
        <f>'入力（門徒情報）'!D20</f>
        <v>弥惣兵衛</v>
      </c>
      <c r="P5" s="197"/>
      <c r="Q5" s="197"/>
      <c r="R5" s="197"/>
      <c r="S5" s="16"/>
    </row>
    <row r="6" spans="2:20" ht="33.950000000000003" customHeight="1">
      <c r="J6" s="202">
        <f>'入力（門徒情報）'!D24*1</f>
        <v>43391</v>
      </c>
      <c r="K6" s="202"/>
      <c r="L6" s="202"/>
      <c r="M6" s="202"/>
      <c r="N6" s="202"/>
      <c r="O6" s="202" t="str">
        <f>"行年" &amp;'入力（門徒情報）'!D25&amp;"歳"</f>
        <v>行年８３歳</v>
      </c>
      <c r="P6" s="202"/>
      <c r="Q6" s="202"/>
      <c r="R6" s="202"/>
      <c r="S6" s="148"/>
      <c r="T6" s="109"/>
    </row>
    <row r="7" spans="2:20" ht="31.35" customHeight="1">
      <c r="E7" s="199" t="str">
        <f>'入力（寺院情報）'!D14</f>
        <v>第二無量寿堂
１階Ｂ－６６６号</v>
      </c>
      <c r="F7" s="200"/>
    </row>
    <row r="8" spans="2:20" ht="11.25" customHeight="1">
      <c r="J8" s="203" t="str">
        <f>'入力（門徒情報）'!D27</f>
        <v>９１０－０８０４</v>
      </c>
      <c r="K8" s="204"/>
      <c r="L8" s="204"/>
      <c r="M8" s="204"/>
    </row>
    <row r="9" spans="2:20" ht="31.35" customHeight="1">
      <c r="F9" s="157">
        <f>'入力（寺院情報）'!D15</f>
        <v>526</v>
      </c>
      <c r="J9" s="192" t="str">
        <f>'入力（門徒情報）'!D28</f>
        <v>福井市高木中央２丁目２２０８番
サニーハイツ高木３０２号</v>
      </c>
      <c r="K9" s="192"/>
      <c r="L9" s="192"/>
      <c r="M9" s="192"/>
      <c r="N9" s="192"/>
      <c r="O9" s="192"/>
      <c r="P9" s="192"/>
      <c r="Q9" s="192"/>
      <c r="R9" s="192"/>
      <c r="S9" s="17"/>
    </row>
    <row r="10" spans="2:20" ht="36.4" customHeight="1">
      <c r="I10" s="17"/>
      <c r="J10" s="192"/>
      <c r="K10" s="192"/>
      <c r="L10" s="192"/>
      <c r="M10" s="192"/>
      <c r="N10" s="192"/>
      <c r="O10" s="192"/>
      <c r="P10" s="192"/>
      <c r="Q10" s="192"/>
      <c r="R10" s="192"/>
      <c r="S10" s="17"/>
    </row>
    <row r="11" spans="2:20" ht="19.899999999999999" customHeight="1">
      <c r="K11" s="205" t="str">
        <f>'入力（門徒情報）'!D29</f>
        <v>０７７６－５２－２９１９</v>
      </c>
      <c r="L11" s="205"/>
      <c r="M11" s="205"/>
      <c r="N11" s="205"/>
      <c r="O11" s="205"/>
      <c r="P11" s="205"/>
      <c r="Q11" s="205"/>
      <c r="R11" s="205"/>
      <c r="S11" s="109"/>
    </row>
    <row r="16" spans="2:20" ht="17.100000000000001" customHeight="1">
      <c r="B16" s="11" t="str">
        <f>"（　寺院番号　" &amp;'入力（寺院情報）'!D7&amp;"　）"</f>
        <v>（　寺院番号　１２－２３－４５　）</v>
      </c>
    </row>
    <row r="17" spans="2:6" ht="17.100000000000001" customHeight="1">
      <c r="C17" s="11" t="str">
        <f>'入力（寺院情報）'!D8&amp;"教区 "&amp;'入力（寺院情報）'!D9&amp;"組 "&amp;'入力（寺院情報）'!D6</f>
        <v>福井教区 吉田組 道場寺</v>
      </c>
      <c r="D17" s="149"/>
    </row>
    <row r="18" spans="2:6" ht="22.5" customHeight="1">
      <c r="E18" s="201" t="str">
        <f>'入力（寺院情報）'!D10</f>
        <v>水上 甚栄</v>
      </c>
      <c r="F18" s="201"/>
    </row>
    <row r="19" spans="2:6" ht="11.25" customHeight="1"/>
    <row r="20" spans="2:6" ht="28.35" customHeight="1">
      <c r="B20" s="192" t="str">
        <f>'入力（寺院情報）'!D16</f>
        <v>納骨容器の収蔵番号は 526 番です。</v>
      </c>
      <c r="C20" s="193"/>
      <c r="D20" s="193"/>
      <c r="E20" s="193"/>
      <c r="F20" s="193"/>
    </row>
  </sheetData>
  <sheetProtection sheet="1" objects="1" scenarios="1"/>
  <mergeCells count="12">
    <mergeCell ref="B20:F20"/>
    <mergeCell ref="J4:M4"/>
    <mergeCell ref="O4:R4"/>
    <mergeCell ref="J5:M5"/>
    <mergeCell ref="O5:R5"/>
    <mergeCell ref="J6:N6"/>
    <mergeCell ref="O6:R6"/>
    <mergeCell ref="E7:F7"/>
    <mergeCell ref="J8:M8"/>
    <mergeCell ref="J9:R10"/>
    <mergeCell ref="K11:R11"/>
    <mergeCell ref="E18:F18"/>
  </mergeCells>
  <phoneticPr fontId="1"/>
  <pageMargins left="0.39370078740157483" right="0.39370078740157483" top="0.39370078740157483" bottom="0.23622047244094491" header="0.27559055118110237" footer="0"/>
  <pageSetup paperSize="9" orientation="landscape" horizontalDpi="4294967292" r:id="rId1"/>
  <headerFooter scaleWithDoc="0">
    <oddHeader>&amp;L&amp;G</oddHeader>
  </headerFooter>
  <legacyDrawingHF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C6D8E-A456-48CC-97F9-AC5F729230B2}">
  <sheetPr>
    <pageSetUpPr fitToPage="1"/>
  </sheetPr>
  <dimension ref="B1:N20"/>
  <sheetViews>
    <sheetView showZeros="0" view="pageLayout" zoomScaleNormal="80" workbookViewId="0"/>
  </sheetViews>
  <sheetFormatPr defaultColWidth="8.25" defaultRowHeight="28.35" customHeight="1"/>
  <cols>
    <col min="1" max="1" width="8.25" style="11" customWidth="1"/>
    <col min="2" max="4" width="8.25" style="11"/>
    <col min="5" max="5" width="11.375" style="11" customWidth="1"/>
    <col min="6" max="6" width="12.25" style="11" customWidth="1"/>
    <col min="7" max="7" width="9.125" style="11" customWidth="1"/>
    <col min="8" max="16384" width="8.25" style="11"/>
  </cols>
  <sheetData>
    <row r="1" spans="2:14" ht="35.450000000000003" customHeight="1"/>
    <row r="2" spans="2:14" ht="16.899999999999999" customHeight="1">
      <c r="J2" s="85" t="s">
        <v>18</v>
      </c>
      <c r="K2" s="88" t="s">
        <v>55</v>
      </c>
      <c r="L2" s="84" t="str">
        <f>'入力（門徒情報）'!D16</f>
        <v>けん</v>
      </c>
      <c r="M2" s="83" t="str">
        <f>'入力（門徒情報）'!D17</f>
        <v>しょう</v>
      </c>
    </row>
    <row r="3" spans="2:14" ht="45.4" customHeight="1">
      <c r="J3" s="69" t="s">
        <v>19</v>
      </c>
      <c r="K3" s="69" t="s">
        <v>54</v>
      </c>
      <c r="L3" s="9" t="str">
        <f>'入力（門徒情報）'!D14</f>
        <v>顯</v>
      </c>
      <c r="M3" s="9" t="str">
        <f>'入力（門徒情報）'!D15</f>
        <v>證</v>
      </c>
    </row>
    <row r="4" spans="2:14" ht="17.100000000000001" customHeight="1">
      <c r="J4" s="194" t="str">
        <f>'入力（門徒情報）'!D21</f>
        <v>はせがわ</v>
      </c>
      <c r="K4" s="195"/>
      <c r="L4" s="194" t="str">
        <f>'入力（門徒情報）'!D22</f>
        <v>やそべえ</v>
      </c>
      <c r="M4" s="195"/>
    </row>
    <row r="5" spans="2:14" ht="42.6" customHeight="1">
      <c r="J5" s="196" t="str">
        <f>'入力（門徒情報）'!D19</f>
        <v>長谷川</v>
      </c>
      <c r="K5" s="197"/>
      <c r="L5" s="196" t="str">
        <f>'入力（門徒情報）'!D20</f>
        <v>弥惣兵衛</v>
      </c>
      <c r="M5" s="197"/>
    </row>
    <row r="6" spans="2:14" ht="33.950000000000003" customHeight="1">
      <c r="J6" s="198">
        <f>'入力（門徒情報）'!D24*1</f>
        <v>43391</v>
      </c>
      <c r="K6" s="198"/>
      <c r="L6" s="198"/>
      <c r="M6" s="191" t="str">
        <f>"行年" &amp;'入力（門徒情報）'!D25&amp;"歳"</f>
        <v>行年８３歳</v>
      </c>
      <c r="N6" s="191"/>
    </row>
    <row r="7" spans="2:14" ht="30.75" customHeight="1">
      <c r="E7" s="199" t="str">
        <f>'入力（寺院情報）'!D14</f>
        <v>第二無量寿堂
１階Ｂ－６６６号</v>
      </c>
      <c r="F7" s="200"/>
    </row>
    <row r="8" spans="2:14" ht="10.9" customHeight="1">
      <c r="J8" s="186" t="str">
        <f>'入力（門徒情報）'!D27</f>
        <v>９１０－０８０４</v>
      </c>
      <c r="K8" s="187"/>
    </row>
    <row r="9" spans="2:14" ht="30.75" customHeight="1">
      <c r="F9" s="157">
        <f>'入力（寺院情報）'!D15</f>
        <v>526</v>
      </c>
      <c r="I9" s="188" t="str">
        <f>'入力（門徒情報）'!D28</f>
        <v>福井市高木中央２丁目２２０８番
サニーハイツ高木３０２号</v>
      </c>
      <c r="J9" s="189"/>
      <c r="K9" s="189"/>
      <c r="L9" s="189"/>
      <c r="M9" s="189"/>
      <c r="N9" s="189"/>
    </row>
    <row r="10" spans="2:14" ht="36.4" customHeight="1">
      <c r="I10" s="189"/>
      <c r="J10" s="189"/>
      <c r="K10" s="189"/>
      <c r="L10" s="189"/>
      <c r="M10" s="189"/>
      <c r="N10" s="189"/>
    </row>
    <row r="11" spans="2:14" ht="19.899999999999999" customHeight="1">
      <c r="K11" s="190" t="str">
        <f>'入力（門徒情報）'!D29</f>
        <v>０７７６－５２－２９１９</v>
      </c>
      <c r="L11" s="191"/>
      <c r="M11" s="191"/>
      <c r="N11" s="191"/>
    </row>
    <row r="16" spans="2:14" ht="17.100000000000001" customHeight="1">
      <c r="B16" s="11" t="str">
        <f>"（　寺院番号　" &amp;'入力（寺院情報）'!D7&amp;"　）"</f>
        <v>（　寺院番号　１２－２３－４５　）</v>
      </c>
    </row>
    <row r="17" spans="2:6" ht="17.100000000000001" customHeight="1">
      <c r="C17" s="11" t="str">
        <f>'入力（寺院情報）'!D8&amp;"教区 "&amp;'入力（寺院情報）'!D9&amp;"組 "&amp;'入力（寺院情報）'!D6</f>
        <v>福井教区 吉田組 道場寺</v>
      </c>
      <c r="D17" s="149"/>
    </row>
    <row r="18" spans="2:6" ht="22.5" customHeight="1">
      <c r="E18" s="201" t="str">
        <f>'入力（寺院情報）'!D10</f>
        <v>水上 甚栄</v>
      </c>
      <c r="F18" s="201"/>
    </row>
    <row r="19" spans="2:6" ht="11.25" customHeight="1"/>
    <row r="20" spans="2:6" ht="28.35" customHeight="1">
      <c r="B20" s="192" t="str">
        <f>'入力（寺院情報）'!D16</f>
        <v>納骨容器の収蔵番号は 526 番です。</v>
      </c>
      <c r="C20" s="193"/>
      <c r="D20" s="193"/>
      <c r="E20" s="193"/>
      <c r="F20" s="193"/>
    </row>
  </sheetData>
  <sheetProtection sheet="1" objects="1" scenarios="1"/>
  <mergeCells count="12">
    <mergeCell ref="J4:K4"/>
    <mergeCell ref="L4:M4"/>
    <mergeCell ref="J5:K5"/>
    <mergeCell ref="L5:M5"/>
    <mergeCell ref="J6:L6"/>
    <mergeCell ref="M6:N6"/>
    <mergeCell ref="B20:F20"/>
    <mergeCell ref="E7:F7"/>
    <mergeCell ref="J8:K8"/>
    <mergeCell ref="I9:N10"/>
    <mergeCell ref="K11:N11"/>
    <mergeCell ref="E18:F18"/>
  </mergeCells>
  <phoneticPr fontId="1"/>
  <pageMargins left="0.39370078740157483" right="0.39370078740157483" top="0.39370078740157483" bottom="0.23622047244094491" header="0.27559055118110237" footer="0"/>
  <pageSetup paperSize="9" orientation="landscape" horizontalDpi="4294967292" r:id="rId1"/>
  <headerFooter scaleWithDoc="0">
    <oddHeader>&amp;L&amp;G</oddHeader>
  </headerFooter>
  <legacyDrawingHF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A622D2-9AC9-44B9-A9F5-8CF761BA44FD}">
  <sheetPr>
    <pageSetUpPr fitToPage="1"/>
  </sheetPr>
  <dimension ref="B1:T20"/>
  <sheetViews>
    <sheetView showZeros="0" view="pageLayout" zoomScaleNormal="80" workbookViewId="0"/>
  </sheetViews>
  <sheetFormatPr defaultColWidth="7.5" defaultRowHeight="28.35" customHeight="1"/>
  <cols>
    <col min="1" max="4" width="8.25" style="11" customWidth="1"/>
    <col min="5" max="5" width="11.375" style="11" customWidth="1"/>
    <col min="6" max="6" width="12.25" style="11" customWidth="1"/>
    <col min="7" max="7" width="9.125" style="11" customWidth="1"/>
    <col min="8" max="8" width="8.25" style="11" customWidth="1"/>
    <col min="9" max="9" width="4.125" style="11" customWidth="1"/>
    <col min="10" max="11" width="6.375" style="11" customWidth="1"/>
    <col min="12" max="12" width="1.375" style="11" customWidth="1"/>
    <col min="13" max="13" width="4.5" style="11" customWidth="1"/>
    <col min="14" max="14" width="1.375" style="11" customWidth="1"/>
    <col min="15" max="16" width="4.5" style="11" customWidth="1"/>
    <col min="17" max="17" width="1.375" style="11" customWidth="1"/>
    <col min="18" max="19" width="6.375" style="11" customWidth="1"/>
    <col min="20" max="21" width="5.5" style="11" customWidth="1"/>
    <col min="22" max="22" width="5" style="11" customWidth="1"/>
    <col min="23" max="16384" width="7.5" style="11"/>
  </cols>
  <sheetData>
    <row r="1" spans="2:20" ht="35.450000000000003" customHeight="1"/>
    <row r="2" spans="2:20" ht="16.899999999999999" customHeight="1">
      <c r="J2" s="85" t="str">
        <f>'入力（門徒情報）'!D11</f>
        <v>おう</v>
      </c>
      <c r="K2" s="85" t="str">
        <f>'入力（門徒情報）'!D12</f>
        <v>ほう</v>
      </c>
      <c r="L2" s="85"/>
      <c r="M2" s="90" t="s">
        <v>20</v>
      </c>
      <c r="O2" s="90" t="s">
        <v>18</v>
      </c>
      <c r="P2" s="90" t="s">
        <v>55</v>
      </c>
      <c r="Q2" s="90"/>
      <c r="R2" s="85" t="str">
        <f>'入力（門徒情報）'!D16</f>
        <v>けん</v>
      </c>
      <c r="S2" s="85" t="str">
        <f>'入力（門徒情報）'!D17</f>
        <v>しょう</v>
      </c>
    </row>
    <row r="3" spans="2:20" ht="45.4" customHeight="1">
      <c r="J3" s="13" t="str">
        <f>'入力（門徒情報）'!D9</f>
        <v>應</v>
      </c>
      <c r="K3" s="13" t="str">
        <f>'入力（門徒情報）'!D10</f>
        <v>報</v>
      </c>
      <c r="L3" s="13"/>
      <c r="M3" s="89" t="s">
        <v>21</v>
      </c>
      <c r="O3" s="89" t="s">
        <v>19</v>
      </c>
      <c r="P3" s="89" t="s">
        <v>54</v>
      </c>
      <c r="Q3" s="69"/>
      <c r="R3" s="13" t="str">
        <f>'入力（門徒情報）'!D14</f>
        <v>顯</v>
      </c>
      <c r="S3" s="13" t="str">
        <f>'入力（門徒情報）'!D15</f>
        <v>證</v>
      </c>
    </row>
    <row r="4" spans="2:20" ht="17.100000000000001" customHeight="1">
      <c r="J4" s="195" t="str">
        <f>'入力（門徒情報）'!D21</f>
        <v>はせがわ</v>
      </c>
      <c r="K4" s="195"/>
      <c r="L4" s="195"/>
      <c r="M4" s="195"/>
      <c r="N4" s="15"/>
      <c r="O4" s="195" t="str">
        <f>'入力（門徒情報）'!D22</f>
        <v>やそべえ</v>
      </c>
      <c r="P4" s="195"/>
      <c r="Q4" s="195"/>
      <c r="R4" s="195"/>
      <c r="S4" s="15"/>
    </row>
    <row r="5" spans="2:20" ht="42.6" customHeight="1">
      <c r="J5" s="197" t="str">
        <f>'入力（門徒情報）'!D19</f>
        <v>長谷川</v>
      </c>
      <c r="K5" s="197"/>
      <c r="L5" s="197"/>
      <c r="M5" s="197"/>
      <c r="N5" s="16"/>
      <c r="O5" s="197" t="str">
        <f>'入力（門徒情報）'!D20</f>
        <v>弥惣兵衛</v>
      </c>
      <c r="P5" s="197"/>
      <c r="Q5" s="197"/>
      <c r="R5" s="197"/>
      <c r="S5" s="16"/>
    </row>
    <row r="6" spans="2:20" ht="33.950000000000003" customHeight="1">
      <c r="J6" s="202">
        <f>'入力（門徒情報）'!D24*1</f>
        <v>43391</v>
      </c>
      <c r="K6" s="202"/>
      <c r="L6" s="202"/>
      <c r="M6" s="202"/>
      <c r="N6" s="202"/>
      <c r="O6" s="202"/>
      <c r="P6" s="202"/>
      <c r="Q6" s="87"/>
      <c r="R6" s="191" t="str">
        <f>"行年" &amp;'入力（門徒情報）'!D25&amp;"歳"</f>
        <v>行年８３歳</v>
      </c>
      <c r="S6" s="191"/>
      <c r="T6" s="191"/>
    </row>
    <row r="7" spans="2:20" ht="31.35" customHeight="1">
      <c r="E7" s="199" t="str">
        <f>'入力（寺院情報）'!D14</f>
        <v>第二無量寿堂
１階Ｂ－６６６号</v>
      </c>
      <c r="F7" s="200"/>
    </row>
    <row r="8" spans="2:20" ht="11.25" customHeight="1">
      <c r="J8" s="206" t="str">
        <f>'入力（門徒情報）'!D27</f>
        <v>９１０－０８０４</v>
      </c>
      <c r="K8" s="207"/>
      <c r="L8" s="207"/>
      <c r="M8" s="207"/>
    </row>
    <row r="9" spans="2:20" ht="31.35" customHeight="1">
      <c r="F9" s="157">
        <f>'入力（寺院情報）'!D15</f>
        <v>526</v>
      </c>
      <c r="J9" s="208" t="str">
        <f>'入力（門徒情報）'!D28</f>
        <v>福井市高木中央２丁目２２０８番
サニーハイツ高木３０２号</v>
      </c>
      <c r="K9" s="209"/>
      <c r="L9" s="209"/>
      <c r="M9" s="209"/>
      <c r="N9" s="209"/>
      <c r="O9" s="209"/>
      <c r="P9" s="209"/>
      <c r="Q9" s="209"/>
      <c r="R9" s="209"/>
      <c r="S9" s="209"/>
    </row>
    <row r="10" spans="2:20" ht="36.4" customHeight="1">
      <c r="I10" s="17"/>
      <c r="J10" s="209"/>
      <c r="K10" s="209"/>
      <c r="L10" s="209"/>
      <c r="M10" s="209"/>
      <c r="N10" s="209"/>
      <c r="O10" s="209"/>
      <c r="P10" s="209"/>
      <c r="Q10" s="209"/>
      <c r="R10" s="209"/>
      <c r="S10" s="209"/>
    </row>
    <row r="11" spans="2:20" ht="19.899999999999999" customHeight="1">
      <c r="M11" s="190" t="str">
        <f>'入力（門徒情報）'!D29</f>
        <v>０７７６－５２－２９１９</v>
      </c>
      <c r="N11" s="191"/>
      <c r="O11" s="191"/>
      <c r="P11" s="191"/>
      <c r="Q11" s="191"/>
      <c r="R11" s="191"/>
      <c r="S11" s="191"/>
    </row>
    <row r="16" spans="2:20" ht="17.100000000000001" customHeight="1">
      <c r="B16" s="11" t="str">
        <f>"（　寺院番号　" &amp;'入力（寺院情報）'!D7&amp;"　）"</f>
        <v>（　寺院番号　１２－２３－４５　）</v>
      </c>
    </row>
    <row r="17" spans="2:6" ht="17.100000000000001" customHeight="1">
      <c r="C17" s="11" t="str">
        <f>'入力（寺院情報）'!D8&amp;"教区 "&amp;'入力（寺院情報）'!D9&amp;"組 "&amp;'入力（寺院情報）'!D6</f>
        <v>福井教区 吉田組 道場寺</v>
      </c>
      <c r="D17" s="149"/>
    </row>
    <row r="18" spans="2:6" ht="22.5" customHeight="1">
      <c r="E18" s="201" t="str">
        <f>'入力（寺院情報）'!D10</f>
        <v>水上 甚栄</v>
      </c>
      <c r="F18" s="201"/>
    </row>
    <row r="19" spans="2:6" ht="11.25" customHeight="1"/>
    <row r="20" spans="2:6" ht="28.35" customHeight="1">
      <c r="B20" s="192" t="str">
        <f>'入力（寺院情報）'!D16</f>
        <v>納骨容器の収蔵番号は 526 番です。</v>
      </c>
      <c r="C20" s="193"/>
      <c r="D20" s="193"/>
      <c r="E20" s="193"/>
      <c r="F20" s="193"/>
    </row>
  </sheetData>
  <sheetProtection sheet="1" objects="1" scenarios="1"/>
  <mergeCells count="12">
    <mergeCell ref="B20:F20"/>
    <mergeCell ref="J8:M8"/>
    <mergeCell ref="J9:S10"/>
    <mergeCell ref="M11:S11"/>
    <mergeCell ref="J4:M4"/>
    <mergeCell ref="J5:M5"/>
    <mergeCell ref="J6:P6"/>
    <mergeCell ref="R6:T6"/>
    <mergeCell ref="E7:F7"/>
    <mergeCell ref="O4:R4"/>
    <mergeCell ref="O5:R5"/>
    <mergeCell ref="E18:F18"/>
  </mergeCells>
  <phoneticPr fontId="1"/>
  <pageMargins left="0.39370078740157483" right="0.39370078740157483" top="0.39370078740157483" bottom="0.23622047244094491" header="0.27559055118110237" footer="0"/>
  <pageSetup paperSize="9" orientation="landscape" horizontalDpi="4294967292" r:id="rId1"/>
  <headerFooter scaleWithDoc="0">
    <oddHeader>&amp;L&amp;G</oddHeader>
  </headerFooter>
  <legacyDrawingHF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07D5DF-9DCF-4C57-BBB2-A74CCDE6F83E}">
  <sheetPr>
    <pageSetUpPr fitToPage="1"/>
  </sheetPr>
  <dimension ref="C1:F22"/>
  <sheetViews>
    <sheetView view="pageBreakPreview" zoomScaleNormal="100" zoomScaleSheetLayoutView="100" workbookViewId="0"/>
  </sheetViews>
  <sheetFormatPr defaultColWidth="19.625" defaultRowHeight="23.65" customHeight="1"/>
  <cols>
    <col min="1" max="2" width="12.375" style="19" customWidth="1"/>
    <col min="3" max="6" width="19.625" style="19"/>
    <col min="7" max="8" width="12.375" style="19" customWidth="1"/>
    <col min="9" max="16384" width="19.625" style="19"/>
  </cols>
  <sheetData>
    <row r="1" spans="3:6" ht="35.65" customHeight="1">
      <c r="C1" s="211" t="str">
        <f>REPLACE(REPLACE('入力（寺院情報）'!D6,3,0,"　"),2,0,"　")&amp;"　　納　骨　壇"</f>
        <v>道　場　寺　　納　骨　壇</v>
      </c>
      <c r="D1" s="211"/>
      <c r="E1" s="211"/>
      <c r="F1" s="211"/>
    </row>
    <row r="2" spans="3:6" ht="27.95" customHeight="1">
      <c r="C2" s="210" t="str">
        <f>"（ 大谷本廟 " &amp;'入力（寺院情報）'!D14&amp;" ）"</f>
        <v>（ 大谷本廟 第二無量寿堂
１階Ｂ－６６６号 ）</v>
      </c>
      <c r="D2" s="210"/>
      <c r="E2" s="210"/>
      <c r="F2" s="210"/>
    </row>
    <row r="3" spans="3:6" ht="32.1" customHeight="1" thickBot="1">
      <c r="C3" s="212" t="str">
        <f>'入力（門徒情報）'!D19&amp;"家 納骨容器 収蔵位置 ＝ " &amp;'入力（寺院情報）'!D15&amp;" 番"</f>
        <v>長谷川家 納骨容器 収蔵位置 ＝ 526 番</v>
      </c>
      <c r="D3" s="212"/>
      <c r="E3" s="212"/>
      <c r="F3" s="212"/>
    </row>
    <row r="4" spans="3:6" ht="22.5" customHeight="1">
      <c r="C4" s="22" t="str">
        <f>IF(AND('入力（寺院情報）'!D15&gt;=743,'入力（寺院情報）'!D15&lt;=751),"◎７４３～７５１","７４３～７５１")</f>
        <v>７４３～７５１</v>
      </c>
      <c r="D4" s="23"/>
      <c r="E4" s="23"/>
      <c r="F4" s="24" t="str">
        <f>IF(AND('入力（寺院情報）'!D15&gt;=671,'入力（寺院情報）'!D15&lt;=679),"◎６７１～６７９","６７１～６７９")</f>
        <v>６７１～６７９</v>
      </c>
    </row>
    <row r="5" spans="3:6" ht="22.5" customHeight="1">
      <c r="C5" s="25" t="str">
        <f>IF(AND('入力（寺院情報）'!D15&gt;=752,'入力（寺院情報）'!D15&lt;=760),"◎７５２～７６０","７５２～７６０")</f>
        <v>７５２～７６０</v>
      </c>
      <c r="D5" s="21"/>
      <c r="E5" s="21"/>
      <c r="F5" s="26" t="str">
        <f>IF(AND('入力（寺院情報）'!D15&gt;=680,'入力（寺院情報）'!D15&lt;=688),"◎６８０～６８８","６８０～６８８")</f>
        <v>６８０～６８８</v>
      </c>
    </row>
    <row r="6" spans="3:6" ht="22.5" customHeight="1">
      <c r="C6" s="25" t="str">
        <f>IF(AND('入力（寺院情報）'!D15&gt;=761,'入力（寺院情報）'!D15&lt;=769),"◎７６１～７６９","７６１～７６９")</f>
        <v>７６１～７６９</v>
      </c>
      <c r="D6" s="21"/>
      <c r="E6" s="21"/>
      <c r="F6" s="26" t="str">
        <f>IF(AND('入力（寺院情報）'!D15&gt;=689,'入力（寺院情報）'!D15&lt;=697),"◎６８９～６９７","６８９～６９７")</f>
        <v>６８９～６９７</v>
      </c>
    </row>
    <row r="7" spans="3:6" ht="22.5" customHeight="1">
      <c r="C7" s="25" t="str">
        <f>IF(AND('入力（寺院情報）'!D15&gt;=770,'入力（寺院情報）'!D15&lt;=778),"◎７７０～７７８","７７０～７７８")</f>
        <v>７７０～７７８</v>
      </c>
      <c r="D7" s="21"/>
      <c r="E7" s="21"/>
      <c r="F7" s="26" t="str">
        <f>IF(AND('入力（寺院情報）'!D15&gt;=698,'入力（寺院情報）'!D15&lt;=706),"◎６９８～７０６","６９８～７０６")</f>
        <v>６９８～７０６</v>
      </c>
    </row>
    <row r="8" spans="3:6" ht="22.5" customHeight="1">
      <c r="C8" s="25" t="str">
        <f>IF(AND('入力（寺院情報）'!D15&gt;=779,'入力（寺院情報）'!D15&lt;=787),"◎７７９～７８７","７７９～７８７")</f>
        <v>７７９～７８７</v>
      </c>
      <c r="D8" s="21"/>
      <c r="E8" s="21"/>
      <c r="F8" s="26" t="str">
        <f>IF(AND('入力（寺院情報）'!D15&gt;=707,'入力（寺院情報）'!D15&lt;=715),"◎７０７～７１５","７０７～７１５")</f>
        <v>７０７～７１５</v>
      </c>
    </row>
    <row r="9" spans="3:6" ht="22.5" customHeight="1">
      <c r="C9" s="25" t="str">
        <f>IF(AND('入力（寺院情報）'!D15&gt;=788,'入力（寺院情報）'!D15&lt;=796),"◎７８８～７９６","７８８～７９６")</f>
        <v>７８８～７９６</v>
      </c>
      <c r="D9" s="21"/>
      <c r="E9" s="21"/>
      <c r="F9" s="26" t="str">
        <f>IF(AND('入力（寺院情報）'!D15&gt;=716,'入力（寺院情報）'!D15&lt;=724),"◎７１６～７２４","７１６～７２４")</f>
        <v>７１６～７２４</v>
      </c>
    </row>
    <row r="10" spans="3:6" ht="22.5" customHeight="1">
      <c r="C10" s="25" t="str">
        <f>IF(AND('入力（寺院情報）'!D15&gt;=797,'入力（寺院情報）'!D15&lt;=805),"◎７９７～８０５","７９７～８０５")</f>
        <v>７９７～８０５</v>
      </c>
      <c r="D10" s="21"/>
      <c r="E10" s="21"/>
      <c r="F10" s="26" t="str">
        <f>IF(AND('入力（寺院情報）'!D15&gt;=725,'入力（寺院情報）'!D15&lt;=733),"◎７２５～７３３","７２５～７３３")</f>
        <v>７２５～７３３</v>
      </c>
    </row>
    <row r="11" spans="3:6" ht="22.5" customHeight="1">
      <c r="C11" s="25" t="str">
        <f>IF(AND('入力（寺院情報）'!D15&gt;=806,'入力（寺院情報）'!D15&lt;=814),"◎８０６～８１４","８０６～８１４")</f>
        <v>８０６～８１４</v>
      </c>
      <c r="D11" s="21"/>
      <c r="E11" s="21"/>
      <c r="F11" s="26" t="str">
        <f>IF(AND('入力（寺院情報）'!D15&gt;=734,'入力（寺院情報）'!D15&lt;=742),"◎７３４～７４２","７３４～７４２")</f>
        <v>７３４～７４２</v>
      </c>
    </row>
    <row r="12" spans="3:6" ht="22.5" customHeight="1">
      <c r="C12" s="27"/>
      <c r="D12" s="21"/>
      <c r="E12" s="21"/>
      <c r="F12" s="28"/>
    </row>
    <row r="13" spans="3:6" ht="22.5" customHeight="1">
      <c r="C13" s="25" t="str">
        <f>IF(AND('入力（寺院情報）'!D15&gt;=551,'入力（寺院情報）'!D15&lt;=565),"◎５５１～５６５","５５１～５６５")</f>
        <v>５５１～５６５</v>
      </c>
      <c r="D13" s="20" t="str">
        <f>IF(AND('入力（寺院情報）'!D15&gt;=21,'入力（寺院情報）'!D15&lt;=40),"◎　２１～４０　","　２１～４０　")</f>
        <v>　２１～４０　</v>
      </c>
      <c r="E13" s="20" t="str">
        <f>IF(AND('入力（寺院情報）'!D15&gt;=1,'入力（寺院情報）'!D15&lt;=20),"◎　　１～２０　","　　１～２０　")</f>
        <v>　　１～２０　</v>
      </c>
      <c r="F13" s="26" t="str">
        <f>IF(AND('入力（寺院情報）'!D15&gt;=401,'入力（寺院情報）'!D15&lt;=415),"◎４０１～４１５","４０１～４１５")</f>
        <v>４０１～４１５</v>
      </c>
    </row>
    <row r="14" spans="3:6" ht="22.5" customHeight="1">
      <c r="C14" s="25" t="str">
        <f>IF(AND('入力（寺院情報）'!D15&gt;=566,'入力（寺院情報）'!D15&lt;=580),"◎５６６～５８０","５６６～５８０")</f>
        <v>５６６～５８０</v>
      </c>
      <c r="D14" s="20" t="str">
        <f>IF(AND('入力（寺院情報）'!D15&gt;=61,'入力（寺院情報）'!D15&lt;=80),"◎　６１～８０　","　６１～８０　")</f>
        <v>　６１～８０　</v>
      </c>
      <c r="E14" s="20" t="str">
        <f>IF(AND('入力（寺院情報）'!D15&gt;=41,'入力（寺院情報）'!D15&lt;=60),"◎　４１～６０　","　４１～６０　")</f>
        <v>　４１～６０　</v>
      </c>
      <c r="F14" s="26" t="str">
        <f>IF(AND('入力（寺院情報）'!D15&gt;=416,'入力（寺院情報）'!D15&lt;=430),"◎４１６～４３０","４１６～４３０")</f>
        <v>４１６～４３０</v>
      </c>
    </row>
    <row r="15" spans="3:6" ht="22.5" customHeight="1">
      <c r="C15" s="25" t="str">
        <f>IF(AND('入力（寺院情報）'!D15&gt;=581,'入力（寺院情報）'!D15&lt;=595),"◎５８１～５９５","５８１～５９５")</f>
        <v>５８１～５９５</v>
      </c>
      <c r="D15" s="20" t="str">
        <f>IF(AND('入力（寺院情報）'!D15&gt;=101,'入力（寺院情報）'!D15&lt;=120),"◎１０１～１２０","１０１～１２０")</f>
        <v>１０１～１２０</v>
      </c>
      <c r="E15" s="20" t="str">
        <f>IF(AND('入力（寺院情報）'!D15&gt;=81,'入力（寺院情報）'!D15&lt;=100),"◎　８１～１００","　８１～１００")</f>
        <v>　８１～１００</v>
      </c>
      <c r="F15" s="26" t="str">
        <f>IF(AND('入力（寺院情報）'!D15&gt;=431,'入力（寺院情報）'!D15&lt;=445),"◎４３１～４４５","４３１～４４５")</f>
        <v>４３１～４４５</v>
      </c>
    </row>
    <row r="16" spans="3:6" ht="22.5" customHeight="1">
      <c r="C16" s="25" t="str">
        <f>IF(AND('入力（寺院情報）'!D15&gt;=596,'入力（寺院情報）'!D15&lt;=610),"◎５９６～６１０","５９６～６１０")</f>
        <v>５９６～６１０</v>
      </c>
      <c r="D16" s="20" t="str">
        <f>IF(AND('入力（寺院情報）'!D15&gt;=141,'入力（寺院情報）'!D15&lt;=160),"◎１４１～１６０","１４１～１６０")</f>
        <v>１４１～１６０</v>
      </c>
      <c r="E16" s="20" t="str">
        <f>IF(AND('入力（寺院情報）'!D15&gt;=121,'入力（寺院情報）'!D15&lt;=140),"◎１２１～１４０","１２１～１４０")</f>
        <v>１２１～１４０</v>
      </c>
      <c r="F16" s="26" t="str">
        <f>IF(AND('入力（寺院情報）'!D15&gt;=446,'入力（寺院情報）'!D15&lt;=460),"◎４４６～４６０","４４６～４６０")</f>
        <v>４４６～４６０</v>
      </c>
    </row>
    <row r="17" spans="3:6" ht="22.5" customHeight="1">
      <c r="C17" s="25" t="str">
        <f>IF(AND('入力（寺院情報）'!D15&gt;=611,'入力（寺院情報）'!D15&lt;=625),"◎６１１～６２５","６１１～６２５")</f>
        <v>６１１～６２５</v>
      </c>
      <c r="D17" s="20" t="str">
        <f>IF(AND('入力（寺院情報）'!D15&gt;=181,'入力（寺院情報）'!D15&lt;=200),"◎１８１～２００","１８１～２００")</f>
        <v>１８１～２００</v>
      </c>
      <c r="E17" s="20" t="str">
        <f>IF(AND('入力（寺院情報）'!D15&gt;=161,'入力（寺院情報）'!D15&lt;=180),"◎１６１～１８０","１６１～１８０")</f>
        <v>１６１～１８０</v>
      </c>
      <c r="F17" s="26" t="str">
        <f>IF(AND('入力（寺院情報）'!D15&gt;=461,'入力（寺院情報）'!D15&lt;=475),"◎４６１～４７５","４６１～４７５")</f>
        <v>４６１～４７５</v>
      </c>
    </row>
    <row r="18" spans="3:6" ht="22.5" customHeight="1">
      <c r="C18" s="25" t="str">
        <f>IF(AND('入力（寺院情報）'!D15&gt;=626,'入力（寺院情報）'!D15&lt;=640),"◎６２６～６４０","６２６～６４０")</f>
        <v>６２６～６４０</v>
      </c>
      <c r="D18" s="20" t="str">
        <f>IF(AND('入力（寺院情報）'!D15&gt;=221,'入力（寺院情報）'!D15&lt;=240),"◎２２１～２４０","２２１～２４０")</f>
        <v>２２１～２４０</v>
      </c>
      <c r="E18" s="20" t="str">
        <f>IF(AND('入力（寺院情報）'!D15&gt;=201,'入力（寺院情報）'!D15&lt;=220),"◎２０１～２２０","２０１～２２０")</f>
        <v>２０１～２２０</v>
      </c>
      <c r="F18" s="26" t="str">
        <f>IF(AND('入力（寺院情報）'!D15&gt;=476,'入力（寺院情報）'!D15&lt;=490),"◎４７６～４９０","４７６～４９０")</f>
        <v>４７６～４９０</v>
      </c>
    </row>
    <row r="19" spans="3:6" ht="22.5" customHeight="1">
      <c r="C19" s="25" t="str">
        <f>IF(AND('入力（寺院情報）'!D15&gt;=641,'入力（寺院情報）'!D15&lt;=655),"◎６４１～６５５","６４１～６５５")</f>
        <v>６４１～６５５</v>
      </c>
      <c r="D19" s="20" t="str">
        <f>IF(AND('入力（寺院情報）'!D15&gt;=261,'入力（寺院情報）'!D15&lt;=280),"◎２６１～２８０","２６１～２８０")</f>
        <v>２６１～２８０</v>
      </c>
      <c r="E19" s="20" t="str">
        <f>IF(AND('入力（寺院情報）'!D15&gt;=241,'入力（寺院情報）'!D15&lt;=260),"◎２４１～２６０","２４１～２６０")</f>
        <v>２４１～２６０</v>
      </c>
      <c r="F19" s="26" t="str">
        <f>IF(AND('入力（寺院情報）'!D15&gt;=491,'入力（寺院情報）'!D15&lt;=505),"◎４９１～５０５","４９１～５０５")</f>
        <v>４９１～５０５</v>
      </c>
    </row>
    <row r="20" spans="3:6" ht="22.5" customHeight="1">
      <c r="C20" s="25" t="str">
        <f>IF(AND('入力（寺院情報）'!D15&gt;=656,'入力（寺院情報）'!D15&lt;=670),"◎６５６～６７０","６５６～６７０")</f>
        <v>６５６～６７０</v>
      </c>
      <c r="D20" s="20" t="str">
        <f>IF(AND('入力（寺院情報）'!D15&gt;=301,'入力（寺院情報）'!D15&lt;=320),"◎３０１～３２０","３０１～３２０")</f>
        <v>３０１～３２０</v>
      </c>
      <c r="E20" s="20" t="str">
        <f>IF(AND('入力（寺院情報）'!D15&gt;=281,'入力（寺院情報）'!D15&lt;=300),"◎２８１～３００","２８１～３００")</f>
        <v>２８１～３００</v>
      </c>
      <c r="F20" s="26" t="str">
        <f>IF(AND('入力（寺院情報）'!D15&gt;=506,'入力（寺院情報）'!D15&lt;=520),"◎５０６～５２０","５０６～５２０")</f>
        <v>５０６～５２０</v>
      </c>
    </row>
    <row r="21" spans="3:6" ht="22.5" customHeight="1">
      <c r="C21" s="25" t="s">
        <v>23</v>
      </c>
      <c r="D21" s="20" t="str">
        <f>IF(AND('入力（寺院情報）'!D15&gt;=341,'入力（寺院情報）'!D15&lt;=360),"◎３４１～３６０","３４１～３６０")</f>
        <v>３４１～３６０</v>
      </c>
      <c r="E21" s="20" t="str">
        <f>IF(AND('入力（寺院情報）'!D15&gt;=321,'入力（寺院情報）'!D15&lt;=340),"◎３２１～３４０","３２１～３４０")</f>
        <v>３２１～３４０</v>
      </c>
      <c r="F21" s="26" t="str">
        <f>IF(AND('入力（寺院情報）'!D15&gt;=521,'入力（寺院情報）'!D15&lt;=535),"◎５２１～５３５","５２１～５３５")</f>
        <v>◎５２１～５３５</v>
      </c>
    </row>
    <row r="22" spans="3:6" ht="22.5" customHeight="1" thickBot="1">
      <c r="C22" s="29" t="s">
        <v>24</v>
      </c>
      <c r="D22" s="30" t="str">
        <f>IF(AND('入力（寺院情報）'!D15&gt;=381,'入力（寺院情報）'!D15&lt;=400),"◎３８１～４００","３８１～４００")</f>
        <v>３８１～４００</v>
      </c>
      <c r="E22" s="30" t="str">
        <f>IF(AND('入力（寺院情報）'!D15&gt;=361,'入力（寺院情報）'!D15&lt;=380),"◎３６１～３８０","３６１～３８０")</f>
        <v>３６１～３８０</v>
      </c>
      <c r="F22" s="31" t="str">
        <f>IF(AND('入力（寺院情報）'!D15&gt;=536,'入力（寺院情報）'!D15&lt;=550),"◎５３６～５５０","５３６～５５０")</f>
        <v>５３６～５５０</v>
      </c>
    </row>
  </sheetData>
  <sheetProtection sheet="1" objects="1" scenarios="1"/>
  <mergeCells count="3">
    <mergeCell ref="C2:F2"/>
    <mergeCell ref="C1:F1"/>
    <mergeCell ref="C3:F3"/>
  </mergeCells>
  <phoneticPr fontId="1"/>
  <conditionalFormatting sqref="C4:F22">
    <cfRule type="containsText" dxfId="0" priority="1" operator="containsText" text="◎">
      <formula>NOT(ISERROR(SEARCH("◎",C4)))</formula>
    </cfRule>
  </conditionalFormatting>
  <pageMargins left="0.39370078740157483" right="0.39370078740157483" top="0.39370078740157483" bottom="0.39370078740157483" header="0" footer="0"/>
  <pageSetup paperSize="9" orientation="landscape" horizontalDpi="4294967292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5215AE-FE59-4A00-9C29-940EAEB7D750}">
  <dimension ref="A2:AR19"/>
  <sheetViews>
    <sheetView view="pageBreakPreview" zoomScale="180" zoomScaleNormal="150" zoomScaleSheetLayoutView="180" workbookViewId="0">
      <selection activeCell="Y2" sqref="Y2:Y5"/>
    </sheetView>
  </sheetViews>
  <sheetFormatPr defaultColWidth="9" defaultRowHeight="18.75" customHeight="1"/>
  <cols>
    <col min="1" max="1" width="2.375" style="63" customWidth="1"/>
    <col min="2" max="2" width="2.625" style="63" customWidth="1"/>
    <col min="3" max="3" width="2.125" style="63" customWidth="1"/>
    <col min="4" max="5" width="2.625" style="63" customWidth="1"/>
    <col min="6" max="6" width="1.625" style="63" customWidth="1"/>
    <col min="7" max="7" width="2.125" style="63" customWidth="1"/>
    <col min="8" max="8" width="1.625" style="63" customWidth="1"/>
    <col min="9" max="9" width="2.125" style="63" customWidth="1"/>
    <col min="10" max="11" width="2.625" style="63" customWidth="1"/>
    <col min="12" max="12" width="1.625" style="63" customWidth="1"/>
    <col min="13" max="13" width="2.125" style="63" customWidth="1"/>
    <col min="14" max="14" width="1.625" style="63" customWidth="1"/>
    <col min="15" max="15" width="2.125" style="63" customWidth="1"/>
    <col min="16" max="17" width="2.625" style="63" customWidth="1"/>
    <col min="18" max="18" width="1.625" style="63" customWidth="1"/>
    <col min="19" max="19" width="2.125" style="63" customWidth="1"/>
    <col min="20" max="20" width="1.625" style="63" customWidth="1"/>
    <col min="21" max="21" width="2.125" style="63" customWidth="1"/>
    <col min="22" max="23" width="2.625" style="63" customWidth="1"/>
    <col min="24" max="24" width="1.625" style="63" customWidth="1"/>
    <col min="25" max="25" width="2.125" style="63" customWidth="1"/>
    <col min="26" max="26" width="1.625" style="63" customWidth="1"/>
    <col min="27" max="27" width="16.625" style="63" customWidth="1"/>
    <col min="28" max="28" width="1.625" style="63" customWidth="1"/>
    <col min="29" max="29" width="16.625" style="63" customWidth="1"/>
    <col min="30" max="16384" width="9" style="63"/>
  </cols>
  <sheetData>
    <row r="2" spans="1:44" ht="21.95" customHeight="1">
      <c r="C2" s="219" t="str">
        <f>"行年" &amp;NUMBERSTRING(A5,3)&amp;"歳"</f>
        <v>行年八三歳</v>
      </c>
      <c r="D2" s="98" t="s">
        <v>52</v>
      </c>
      <c r="E2" s="99" t="s">
        <v>51</v>
      </c>
      <c r="F2" s="221">
        <f>'入力（門徒情報）'!D24*1</f>
        <v>43391</v>
      </c>
      <c r="G2" s="213">
        <f>'入力（門徒情報）'!D24*1</f>
        <v>43391</v>
      </c>
      <c r="I2" s="219" t="str">
        <f>"行年" &amp;NUMBERSTRING(A5,3)&amp;"歳"</f>
        <v>行年八三歳</v>
      </c>
      <c r="J2" s="98" t="s">
        <v>52</v>
      </c>
      <c r="K2" s="99" t="s">
        <v>51</v>
      </c>
      <c r="L2" s="221">
        <f>'入力（門徒情報）'!D24*1</f>
        <v>43391</v>
      </c>
      <c r="M2" s="213">
        <f>'入力（門徒情報）'!D24*1</f>
        <v>43391</v>
      </c>
      <c r="N2" s="70"/>
      <c r="O2" s="219" t="str">
        <f>"行年" &amp;NUMBERSTRING(A5,3)&amp;"歳"</f>
        <v>行年八三歳</v>
      </c>
      <c r="P2" s="98" t="s">
        <v>52</v>
      </c>
      <c r="Q2" s="99" t="s">
        <v>51</v>
      </c>
      <c r="R2" s="221">
        <f>'入力（門徒情報）'!D24*1</f>
        <v>43391</v>
      </c>
      <c r="S2" s="213">
        <f>'入力（門徒情報）'!D24*1</f>
        <v>43391</v>
      </c>
      <c r="T2" s="70"/>
      <c r="U2" s="219" t="str">
        <f>"行年" &amp;NUMBERSTRING(A5,3)&amp;"歳"</f>
        <v>行年八三歳</v>
      </c>
      <c r="V2" s="98" t="s">
        <v>52</v>
      </c>
      <c r="W2" s="99" t="s">
        <v>51</v>
      </c>
      <c r="X2" s="221">
        <f>'入力（門徒情報）'!D24*1</f>
        <v>43391</v>
      </c>
      <c r="Y2" s="213">
        <f>'入力（門徒情報）'!D24*1</f>
        <v>43391</v>
      </c>
      <c r="AA2" s="79" t="str">
        <f>"№ "&amp;'入力（寺院情報）'!D15</f>
        <v>№ 526</v>
      </c>
      <c r="AB2" s="75"/>
      <c r="AC2" s="79" t="str">
        <f>"№ "&amp;'入力（寺院情報）'!D15</f>
        <v>№ 526</v>
      </c>
      <c r="AD2" s="75"/>
      <c r="AE2" s="75"/>
      <c r="AF2" s="75"/>
      <c r="AG2" s="75"/>
      <c r="AH2" s="75"/>
    </row>
    <row r="3" spans="1:44" ht="2.1" customHeight="1">
      <c r="C3" s="220"/>
      <c r="D3" s="73"/>
      <c r="E3" s="73"/>
      <c r="F3" s="222"/>
      <c r="G3" s="214"/>
      <c r="I3" s="220"/>
      <c r="J3" s="73"/>
      <c r="K3" s="73"/>
      <c r="L3" s="222"/>
      <c r="M3" s="214"/>
      <c r="N3" s="70"/>
      <c r="O3" s="220"/>
      <c r="P3" s="73"/>
      <c r="Q3" s="73"/>
      <c r="R3" s="222"/>
      <c r="S3" s="214"/>
      <c r="T3" s="70"/>
      <c r="U3" s="220"/>
      <c r="V3" s="73"/>
      <c r="W3" s="73"/>
      <c r="X3" s="222"/>
      <c r="Y3" s="214"/>
      <c r="AA3" s="77"/>
      <c r="AB3" s="71"/>
      <c r="AC3" s="77"/>
      <c r="AD3" s="71"/>
      <c r="AE3" s="71"/>
      <c r="AF3" s="71"/>
      <c r="AG3" s="70"/>
      <c r="AH3" s="70"/>
    </row>
    <row r="4" spans="1:44" ht="27" customHeight="1">
      <c r="C4" s="220"/>
      <c r="D4" s="215" t="str">
        <f>'入力（門徒情報）'!D19&amp;" " &amp;'入力（門徒情報）'!D20</f>
        <v>長谷川 弥惣兵衛</v>
      </c>
      <c r="E4" s="217" t="str">
        <f>"釋 " &amp;'入力（門徒情報）'!D14&amp;'入力（門徒情報）'!D15</f>
        <v>釋 顯證</v>
      </c>
      <c r="F4" s="222"/>
      <c r="G4" s="214"/>
      <c r="I4" s="220"/>
      <c r="J4" s="215" t="str">
        <f>'入力（門徒情報）'!D19&amp;" " &amp;'入力（門徒情報）'!D20</f>
        <v>長谷川 弥惣兵衛</v>
      </c>
      <c r="K4" s="217" t="str">
        <f>"釋 " &amp;'入力（門徒情報）'!D14&amp;'入力（門徒情報）'!D15</f>
        <v>釋 顯證</v>
      </c>
      <c r="L4" s="222"/>
      <c r="M4" s="214"/>
      <c r="N4" s="70"/>
      <c r="O4" s="220"/>
      <c r="P4" s="215" t="str">
        <f>'入力（門徒情報）'!D19&amp;" " &amp;'入力（門徒情報）'!D20</f>
        <v>長谷川 弥惣兵衛</v>
      </c>
      <c r="Q4" s="217" t="str">
        <f>'入力（門徒情報）'!D9&amp;'入力（門徒情報）'!D10&amp;"院 釋" &amp;'入力（門徒情報）'!D14&amp;'入力（門徒情報）'!D15</f>
        <v>應報院 釋顯證</v>
      </c>
      <c r="R4" s="222"/>
      <c r="S4" s="214"/>
      <c r="T4" s="70"/>
      <c r="U4" s="220"/>
      <c r="V4" s="215" t="str">
        <f>'入力（門徒情報）'!D19&amp;" " &amp;'入力（門徒情報）'!D20</f>
        <v>長谷川 弥惣兵衛</v>
      </c>
      <c r="W4" s="217" t="str">
        <f>'入力（門徒情報）'!D9&amp;'入力（門徒情報）'!D10&amp;"院 釋" &amp;'入力（門徒情報）'!D14&amp;'入力（門徒情報）'!D15</f>
        <v>應報院 釋顯證</v>
      </c>
      <c r="X4" s="222"/>
      <c r="Y4" s="214"/>
      <c r="AA4" s="78" t="str">
        <f>'入力（門徒情報）'!D19&amp;" 家"</f>
        <v>長谷川 家</v>
      </c>
      <c r="AB4" s="76"/>
      <c r="AC4" s="78" t="str">
        <f>'入力（門徒情報）'!D19&amp;" 家"</f>
        <v>長谷川 家</v>
      </c>
      <c r="AD4" s="76"/>
      <c r="AE4" s="76"/>
      <c r="AF4" s="76"/>
      <c r="AG4" s="76"/>
      <c r="AH4" s="76"/>
    </row>
    <row r="5" spans="1:44" ht="27" customHeight="1">
      <c r="A5" s="64" t="str">
        <f>ASC('入力（門徒情報）'!D25)</f>
        <v>83</v>
      </c>
      <c r="C5" s="220"/>
      <c r="D5" s="215"/>
      <c r="E5" s="217"/>
      <c r="F5" s="222"/>
      <c r="G5" s="214"/>
      <c r="I5" s="220"/>
      <c r="J5" s="215"/>
      <c r="K5" s="217"/>
      <c r="L5" s="222"/>
      <c r="M5" s="214"/>
      <c r="N5" s="70"/>
      <c r="O5" s="220"/>
      <c r="P5" s="215"/>
      <c r="Q5" s="217"/>
      <c r="R5" s="222"/>
      <c r="S5" s="214"/>
      <c r="T5" s="72"/>
      <c r="U5" s="220"/>
      <c r="V5" s="215"/>
      <c r="W5" s="217"/>
      <c r="X5" s="222"/>
      <c r="Y5" s="214"/>
    </row>
    <row r="6" spans="1:44" ht="18.95" customHeight="1">
      <c r="C6" s="74"/>
      <c r="D6" s="216"/>
      <c r="E6" s="218"/>
      <c r="F6" s="100" t="s">
        <v>53</v>
      </c>
      <c r="G6" s="65"/>
      <c r="I6" s="74"/>
      <c r="J6" s="216"/>
      <c r="K6" s="218"/>
      <c r="L6" s="100" t="s">
        <v>53</v>
      </c>
      <c r="M6" s="65"/>
      <c r="N6" s="70"/>
      <c r="O6" s="74"/>
      <c r="P6" s="216"/>
      <c r="Q6" s="218"/>
      <c r="R6" s="100" t="s">
        <v>53</v>
      </c>
      <c r="S6" s="65"/>
      <c r="T6" s="72"/>
      <c r="U6" s="74"/>
      <c r="V6" s="216"/>
      <c r="W6" s="218"/>
      <c r="X6" s="100" t="s">
        <v>53</v>
      </c>
      <c r="Y6" s="65"/>
      <c r="AG6" s="66"/>
      <c r="AH6" s="66"/>
      <c r="AI6" s="66"/>
      <c r="AJ6" s="66"/>
      <c r="AK6" s="66"/>
      <c r="AL6" s="66"/>
      <c r="AM6" s="66"/>
      <c r="AN6" s="66"/>
      <c r="AO6" s="66"/>
      <c r="AP6" s="66"/>
      <c r="AQ6" s="66"/>
      <c r="AR6" s="66"/>
    </row>
    <row r="7" spans="1:44" ht="18.75" customHeight="1">
      <c r="C7" s="80"/>
      <c r="D7" s="81"/>
      <c r="E7" s="81"/>
      <c r="F7" s="81"/>
      <c r="G7" s="81"/>
      <c r="H7" s="81"/>
      <c r="I7" s="81"/>
      <c r="J7" s="81"/>
      <c r="K7" s="81"/>
      <c r="L7" s="81"/>
      <c r="M7" s="81"/>
      <c r="N7" s="81"/>
      <c r="O7" s="82"/>
      <c r="P7" s="82"/>
      <c r="Q7" s="82"/>
      <c r="R7" s="82"/>
      <c r="S7" s="82"/>
      <c r="T7" s="82"/>
      <c r="U7" s="82"/>
      <c r="V7" s="81"/>
      <c r="W7" s="81"/>
      <c r="X7" s="81"/>
      <c r="Y7" s="81"/>
      <c r="Z7" s="81"/>
      <c r="AA7" s="81"/>
      <c r="AB7" s="81"/>
      <c r="AC7" s="81"/>
    </row>
    <row r="8" spans="1:44" s="71" customFormat="1" ht="24.95" customHeight="1"/>
    <row r="9" spans="1:44" s="71" customFormat="1" ht="3" customHeight="1"/>
    <row r="10" spans="1:44" s="71" customFormat="1" ht="24.95" customHeight="1"/>
    <row r="11" spans="1:44" s="71" customFormat="1" ht="18.75" customHeight="1"/>
    <row r="12" spans="1:44" s="71" customFormat="1" ht="18.75" customHeight="1"/>
    <row r="13" spans="1:44" s="71" customFormat="1" ht="18.75" customHeight="1"/>
    <row r="19" ht="19.5" customHeight="1"/>
  </sheetData>
  <sheetProtection sheet="1" objects="1" scenarios="1"/>
  <mergeCells count="20">
    <mergeCell ref="O2:O5"/>
    <mergeCell ref="R2:R5"/>
    <mergeCell ref="S2:S5"/>
    <mergeCell ref="U2:U5"/>
    <mergeCell ref="X2:X5"/>
    <mergeCell ref="Y2:Y5"/>
    <mergeCell ref="P4:P6"/>
    <mergeCell ref="Q4:Q6"/>
    <mergeCell ref="V4:V6"/>
    <mergeCell ref="W4:W6"/>
    <mergeCell ref="C2:C5"/>
    <mergeCell ref="F2:F5"/>
    <mergeCell ref="G2:G5"/>
    <mergeCell ref="I2:I5"/>
    <mergeCell ref="L2:L5"/>
    <mergeCell ref="M2:M5"/>
    <mergeCell ref="D4:D6"/>
    <mergeCell ref="E4:E6"/>
    <mergeCell ref="J4:J6"/>
    <mergeCell ref="K4:K6"/>
  </mergeCells>
  <phoneticPr fontId="1"/>
  <pageMargins left="0.39370078740157483" right="0.39370078740157483" top="0.39370078740157483" bottom="0.39370078740157483" header="0" footer="0"/>
  <pageSetup paperSize="9" orientation="portrait" horizontalDpi="4294967292" verticalDpi="1200" r:id="rId1"/>
  <headerFooter scaleWithDoc="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2E8F90-1728-4B37-92FA-346FEBFC9FFC}">
  <dimension ref="A2:AR19"/>
  <sheetViews>
    <sheetView view="pageBreakPreview" zoomScale="180" zoomScaleNormal="150" zoomScaleSheetLayoutView="180" workbookViewId="0"/>
  </sheetViews>
  <sheetFormatPr defaultColWidth="9" defaultRowHeight="18.75" customHeight="1"/>
  <cols>
    <col min="1" max="1" width="2.375" style="63" customWidth="1"/>
    <col min="2" max="2" width="2.625" style="63" customWidth="1"/>
    <col min="3" max="3" width="2.125" style="63" customWidth="1"/>
    <col min="4" max="5" width="2.625" style="63" customWidth="1"/>
    <col min="6" max="6" width="1.625" style="63" customWidth="1"/>
    <col min="7" max="7" width="2.125" style="63" customWidth="1"/>
    <col min="8" max="8" width="1.625" style="63" customWidth="1"/>
    <col min="9" max="9" width="2.125" style="63" customWidth="1"/>
    <col min="10" max="11" width="2.625" style="63" customWidth="1"/>
    <col min="12" max="12" width="1.625" style="63" customWidth="1"/>
    <col min="13" max="13" width="2.125" style="63" customWidth="1"/>
    <col min="14" max="14" width="1.625" style="63" customWidth="1"/>
    <col min="15" max="15" width="2.125" style="63" customWidth="1"/>
    <col min="16" max="17" width="2.625" style="63" customWidth="1"/>
    <col min="18" max="18" width="1.625" style="63" customWidth="1"/>
    <col min="19" max="19" width="2.125" style="63" customWidth="1"/>
    <col min="20" max="20" width="1.625" style="63" customWidth="1"/>
    <col min="21" max="21" width="2.125" style="63" customWidth="1"/>
    <col min="22" max="23" width="2.625" style="63" customWidth="1"/>
    <col min="24" max="24" width="1.625" style="63" customWidth="1"/>
    <col min="25" max="25" width="2.125" style="63" customWidth="1"/>
    <col min="26" max="26" width="1.625" style="63" customWidth="1"/>
    <col min="27" max="27" width="16.625" style="63" customWidth="1"/>
    <col min="28" max="28" width="1.625" style="63" customWidth="1"/>
    <col min="29" max="29" width="16.625" style="63" customWidth="1"/>
    <col min="30" max="16384" width="9" style="63"/>
  </cols>
  <sheetData>
    <row r="2" spans="1:44" ht="21.95" customHeight="1">
      <c r="C2" s="219" t="str">
        <f>"行年" &amp;NUMBERSTRING(A5,3)&amp;"歳"</f>
        <v>行年八三歳</v>
      </c>
      <c r="D2" s="98" t="s">
        <v>52</v>
      </c>
      <c r="E2" s="99" t="s">
        <v>51</v>
      </c>
      <c r="F2" s="221">
        <f>'入力（門徒情報）'!D24*1</f>
        <v>43391</v>
      </c>
      <c r="G2" s="213">
        <f>'入力（門徒情報）'!D24*1</f>
        <v>43391</v>
      </c>
      <c r="I2" s="219" t="str">
        <f>"行年" &amp;NUMBERSTRING(A5,3)&amp;"歳"</f>
        <v>行年八三歳</v>
      </c>
      <c r="J2" s="98" t="s">
        <v>52</v>
      </c>
      <c r="K2" s="99" t="s">
        <v>51</v>
      </c>
      <c r="L2" s="221">
        <f>'入力（門徒情報）'!D24*1</f>
        <v>43391</v>
      </c>
      <c r="M2" s="213">
        <f>'入力（門徒情報）'!D24*1</f>
        <v>43391</v>
      </c>
      <c r="N2" s="70"/>
      <c r="O2" s="219" t="str">
        <f>"行年" &amp;NUMBERSTRING(A5,3)&amp;"歳"</f>
        <v>行年八三歳</v>
      </c>
      <c r="P2" s="98" t="s">
        <v>52</v>
      </c>
      <c r="Q2" s="99" t="s">
        <v>51</v>
      </c>
      <c r="R2" s="221">
        <f>'入力（門徒情報）'!D24*1</f>
        <v>43391</v>
      </c>
      <c r="S2" s="213">
        <f>'入力（門徒情報）'!D24*1</f>
        <v>43391</v>
      </c>
      <c r="T2" s="70"/>
      <c r="U2" s="219" t="str">
        <f>"行年" &amp;NUMBERSTRING(A5,3)&amp;"歳"</f>
        <v>行年八三歳</v>
      </c>
      <c r="V2" s="98" t="s">
        <v>52</v>
      </c>
      <c r="W2" s="99" t="s">
        <v>51</v>
      </c>
      <c r="X2" s="221">
        <f>'入力（門徒情報）'!D24*1</f>
        <v>43391</v>
      </c>
      <c r="Y2" s="213">
        <f>'入力（門徒情報）'!D24*1</f>
        <v>43391</v>
      </c>
      <c r="AA2" s="79" t="str">
        <f>"№ "&amp;'入力（寺院情報）'!D15</f>
        <v>№ 526</v>
      </c>
      <c r="AB2" s="75"/>
      <c r="AC2" s="79" t="str">
        <f>"№ "&amp;'入力（寺院情報）'!D15</f>
        <v>№ 526</v>
      </c>
      <c r="AD2" s="75"/>
      <c r="AE2" s="75"/>
      <c r="AF2" s="75"/>
      <c r="AG2" s="75"/>
      <c r="AH2" s="75"/>
    </row>
    <row r="3" spans="1:44" ht="2.1" customHeight="1">
      <c r="C3" s="220"/>
      <c r="D3" s="73"/>
      <c r="E3" s="73"/>
      <c r="F3" s="222"/>
      <c r="G3" s="214"/>
      <c r="I3" s="220"/>
      <c r="J3" s="73"/>
      <c r="K3" s="73"/>
      <c r="L3" s="222"/>
      <c r="M3" s="214"/>
      <c r="N3" s="70"/>
      <c r="O3" s="220"/>
      <c r="P3" s="73"/>
      <c r="Q3" s="73"/>
      <c r="R3" s="222"/>
      <c r="S3" s="214"/>
      <c r="T3" s="70"/>
      <c r="U3" s="220"/>
      <c r="V3" s="73"/>
      <c r="W3" s="73"/>
      <c r="X3" s="222"/>
      <c r="Y3" s="214"/>
      <c r="AA3" s="77"/>
      <c r="AB3" s="71"/>
      <c r="AC3" s="77"/>
      <c r="AD3" s="71"/>
      <c r="AE3" s="71"/>
      <c r="AF3" s="71"/>
      <c r="AG3" s="70"/>
      <c r="AH3" s="70"/>
    </row>
    <row r="4" spans="1:44" ht="27" customHeight="1">
      <c r="C4" s="220"/>
      <c r="D4" s="215" t="str">
        <f>'入力（門徒情報）'!D19&amp;" " &amp;'入力（門徒情報）'!D20</f>
        <v>長谷川 弥惣兵衛</v>
      </c>
      <c r="E4" s="217" t="str">
        <f>"釋尼 " &amp;'入力（門徒情報）'!D14&amp;'入力（門徒情報）'!D15</f>
        <v>釋尼 顯證</v>
      </c>
      <c r="F4" s="222"/>
      <c r="G4" s="214"/>
      <c r="I4" s="220"/>
      <c r="J4" s="215" t="str">
        <f>'入力（門徒情報）'!D19&amp;" " &amp;'入力（門徒情報）'!D20</f>
        <v>長谷川 弥惣兵衛</v>
      </c>
      <c r="K4" s="217" t="str">
        <f>"釋尼 " &amp;'入力（門徒情報）'!D14&amp;'入力（門徒情報）'!D15</f>
        <v>釋尼 顯證</v>
      </c>
      <c r="L4" s="222"/>
      <c r="M4" s="214"/>
      <c r="N4" s="70"/>
      <c r="O4" s="220"/>
      <c r="P4" s="215" t="str">
        <f>'入力（門徒情報）'!D19&amp;" " &amp;'入力（門徒情報）'!D20</f>
        <v>長谷川 弥惣兵衛</v>
      </c>
      <c r="Q4" s="217" t="str">
        <f>'入力（門徒情報）'!D9&amp;'入力（門徒情報）'!D10&amp;"院 釋尼" &amp;'入力（門徒情報）'!D14&amp;'入力（門徒情報）'!D15</f>
        <v>應報院 釋尼顯證</v>
      </c>
      <c r="R4" s="222"/>
      <c r="S4" s="214"/>
      <c r="T4" s="70"/>
      <c r="U4" s="220"/>
      <c r="V4" s="215" t="str">
        <f>'入力（門徒情報）'!D19&amp;" " &amp;'入力（門徒情報）'!D20</f>
        <v>長谷川 弥惣兵衛</v>
      </c>
      <c r="W4" s="217" t="str">
        <f>'入力（門徒情報）'!D9&amp;'入力（門徒情報）'!D10&amp;"院 釋尼" &amp;'入力（門徒情報）'!D14&amp;'入力（門徒情報）'!D15</f>
        <v>應報院 釋尼顯證</v>
      </c>
      <c r="X4" s="222"/>
      <c r="Y4" s="214"/>
      <c r="AA4" s="78" t="str">
        <f>'入力（門徒情報）'!D19&amp;" 家"</f>
        <v>長谷川 家</v>
      </c>
      <c r="AB4" s="76"/>
      <c r="AC4" s="78" t="str">
        <f>'入力（門徒情報）'!D19&amp;" 家"</f>
        <v>長谷川 家</v>
      </c>
      <c r="AD4" s="76"/>
      <c r="AE4" s="76"/>
      <c r="AF4" s="76"/>
      <c r="AG4" s="76"/>
      <c r="AH4" s="76"/>
    </row>
    <row r="5" spans="1:44" ht="27" customHeight="1">
      <c r="A5" s="64" t="str">
        <f>ASC('入力（門徒情報）'!D25)</f>
        <v>83</v>
      </c>
      <c r="C5" s="220"/>
      <c r="D5" s="215"/>
      <c r="E5" s="217"/>
      <c r="F5" s="222"/>
      <c r="G5" s="214"/>
      <c r="I5" s="220"/>
      <c r="J5" s="215"/>
      <c r="K5" s="217"/>
      <c r="L5" s="222"/>
      <c r="M5" s="214"/>
      <c r="N5" s="70"/>
      <c r="O5" s="220"/>
      <c r="P5" s="215"/>
      <c r="Q5" s="217"/>
      <c r="R5" s="222"/>
      <c r="S5" s="214"/>
      <c r="T5" s="72"/>
      <c r="U5" s="220"/>
      <c r="V5" s="215"/>
      <c r="W5" s="217"/>
      <c r="X5" s="222"/>
      <c r="Y5" s="214"/>
    </row>
    <row r="6" spans="1:44" ht="18.95" customHeight="1">
      <c r="C6" s="74"/>
      <c r="D6" s="216"/>
      <c r="E6" s="218"/>
      <c r="F6" s="100" t="s">
        <v>53</v>
      </c>
      <c r="G6" s="65"/>
      <c r="I6" s="74"/>
      <c r="J6" s="216"/>
      <c r="K6" s="218"/>
      <c r="L6" s="100" t="s">
        <v>53</v>
      </c>
      <c r="M6" s="65"/>
      <c r="N6" s="70"/>
      <c r="O6" s="74"/>
      <c r="P6" s="216"/>
      <c r="Q6" s="218"/>
      <c r="R6" s="100" t="s">
        <v>53</v>
      </c>
      <c r="S6" s="65"/>
      <c r="T6" s="72"/>
      <c r="U6" s="74"/>
      <c r="V6" s="216"/>
      <c r="W6" s="218"/>
      <c r="X6" s="100" t="s">
        <v>53</v>
      </c>
      <c r="Y6" s="65"/>
      <c r="AG6" s="66"/>
      <c r="AH6" s="66"/>
      <c r="AI6" s="66"/>
      <c r="AJ6" s="66"/>
      <c r="AK6" s="66"/>
      <c r="AL6" s="66"/>
      <c r="AM6" s="66"/>
      <c r="AN6" s="66"/>
      <c r="AO6" s="66"/>
      <c r="AP6" s="66"/>
      <c r="AQ6" s="66"/>
      <c r="AR6" s="66"/>
    </row>
    <row r="7" spans="1:44" ht="18.75" customHeight="1">
      <c r="C7" s="80"/>
      <c r="D7" s="81"/>
      <c r="E7" s="81"/>
      <c r="F7" s="81"/>
      <c r="G7" s="81"/>
      <c r="H7" s="81"/>
      <c r="I7" s="81"/>
      <c r="J7" s="81"/>
      <c r="K7" s="81"/>
      <c r="L7" s="81"/>
      <c r="M7" s="81"/>
      <c r="N7" s="81"/>
      <c r="O7" s="82"/>
      <c r="P7" s="82"/>
      <c r="Q7" s="82"/>
      <c r="R7" s="82"/>
      <c r="S7" s="82"/>
      <c r="T7" s="82"/>
      <c r="U7" s="82"/>
      <c r="V7" s="81"/>
      <c r="W7" s="81"/>
      <c r="X7" s="81"/>
      <c r="Y7" s="81"/>
      <c r="Z7" s="81"/>
      <c r="AA7" s="81"/>
      <c r="AB7" s="81"/>
      <c r="AC7" s="81"/>
    </row>
    <row r="8" spans="1:44" s="71" customFormat="1" ht="24.95" customHeight="1"/>
    <row r="9" spans="1:44" s="71" customFormat="1" ht="3" customHeight="1"/>
    <row r="10" spans="1:44" s="71" customFormat="1" ht="24.95" customHeight="1"/>
    <row r="11" spans="1:44" s="71" customFormat="1" ht="18.75" customHeight="1"/>
    <row r="12" spans="1:44" s="71" customFormat="1" ht="18.75" customHeight="1"/>
    <row r="13" spans="1:44" s="71" customFormat="1" ht="18.75" customHeight="1"/>
    <row r="19" ht="19.5" customHeight="1"/>
  </sheetData>
  <sheetProtection sheet="1" objects="1" scenarios="1"/>
  <mergeCells count="20">
    <mergeCell ref="M2:M5"/>
    <mergeCell ref="D4:D6"/>
    <mergeCell ref="E4:E6"/>
    <mergeCell ref="J4:J6"/>
    <mergeCell ref="K4:K6"/>
    <mergeCell ref="C2:C5"/>
    <mergeCell ref="F2:F5"/>
    <mergeCell ref="G2:G5"/>
    <mergeCell ref="I2:I5"/>
    <mergeCell ref="L2:L5"/>
    <mergeCell ref="Y2:Y5"/>
    <mergeCell ref="P4:P6"/>
    <mergeCell ref="Q4:Q6"/>
    <mergeCell ref="V4:V6"/>
    <mergeCell ref="W4:W6"/>
    <mergeCell ref="O2:O5"/>
    <mergeCell ref="R2:R5"/>
    <mergeCell ref="S2:S5"/>
    <mergeCell ref="U2:U5"/>
    <mergeCell ref="X2:X5"/>
  </mergeCells>
  <phoneticPr fontId="1"/>
  <pageMargins left="0.39370078740157483" right="0.39370078740157483" top="0.39370078740157483" bottom="0.39370078740157483" header="0" footer="0"/>
  <pageSetup paperSize="9" orientation="portrait" horizontalDpi="4294967292" verticalDpi="1200" r:id="rId1"/>
  <headerFooter scaleWithDoc="0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24E615-97F2-448C-9AF1-422144D6A342}">
  <sheetPr>
    <pageSetUpPr fitToPage="1"/>
  </sheetPr>
  <dimension ref="B1:R21"/>
  <sheetViews>
    <sheetView showZeros="0" view="pageLayout" zoomScaleNormal="80" workbookViewId="0"/>
  </sheetViews>
  <sheetFormatPr defaultColWidth="7.125" defaultRowHeight="28.35" customHeight="1"/>
  <cols>
    <col min="1" max="11" width="6.375" style="11" customWidth="1"/>
    <col min="12" max="12" width="6.875" style="11" customWidth="1"/>
    <col min="13" max="13" width="8.375" style="11" customWidth="1"/>
    <col min="14" max="16384" width="7.125" style="11"/>
  </cols>
  <sheetData>
    <row r="1" spans="3:18" ht="24" customHeight="1"/>
    <row r="2" spans="3:18" ht="16.350000000000001" customHeight="1">
      <c r="N2" s="107"/>
      <c r="O2" s="107" t="s">
        <v>18</v>
      </c>
      <c r="P2" s="106" t="str">
        <f>'入力（門徒情報）'!D16</f>
        <v>けん</v>
      </c>
      <c r="Q2" s="104" t="str">
        <f>'入力（門徒情報）'!D17</f>
        <v>しょう</v>
      </c>
    </row>
    <row r="3" spans="3:18" ht="27.75" customHeight="1">
      <c r="N3" s="69"/>
      <c r="O3" s="69" t="s">
        <v>85</v>
      </c>
      <c r="P3" s="9" t="str">
        <f>'入力（門徒情報）'!D14</f>
        <v>顯</v>
      </c>
      <c r="Q3" s="9" t="str">
        <f>'入力（門徒情報）'!D15</f>
        <v>證</v>
      </c>
    </row>
    <row r="4" spans="3:18" ht="15.75" customHeight="1">
      <c r="N4" s="194" t="str">
        <f>'入力（門徒情報）'!D21</f>
        <v>はせがわ</v>
      </c>
      <c r="O4" s="195"/>
      <c r="P4" s="194" t="str">
        <f>'入力（門徒情報）'!D22</f>
        <v>やそべえ</v>
      </c>
      <c r="Q4" s="195"/>
    </row>
    <row r="5" spans="3:18" ht="27.75" customHeight="1">
      <c r="N5" s="196" t="str">
        <f>'入力（門徒情報）'!D19</f>
        <v>長谷川</v>
      </c>
      <c r="O5" s="197"/>
      <c r="P5" s="196" t="str">
        <f>'入力（門徒情報）'!D20</f>
        <v>弥惣兵衛</v>
      </c>
      <c r="Q5" s="197"/>
    </row>
    <row r="6" spans="3:18" ht="33.950000000000003" customHeight="1">
      <c r="N6" s="230">
        <f>'入力（門徒情報）'!D24*1</f>
        <v>43391</v>
      </c>
      <c r="O6" s="230"/>
      <c r="P6" s="230"/>
      <c r="Q6" s="231" t="str">
        <f>"行年" &amp;'入力（門徒情報）'!D25&amp;"歳"</f>
        <v>行年８３歳</v>
      </c>
      <c r="R6" s="231"/>
    </row>
    <row r="7" spans="3:18" ht="18.600000000000001" customHeight="1">
      <c r="E7" s="223" t="str">
        <f>'入力（寺院情報）'!D14</f>
        <v>第二無量寿堂
１階Ｂ－６６６号</v>
      </c>
      <c r="F7" s="224"/>
      <c r="G7" s="224"/>
      <c r="H7" s="224"/>
      <c r="I7" s="224"/>
      <c r="J7" s="150"/>
    </row>
    <row r="8" spans="3:18" ht="26.1" customHeight="1">
      <c r="N8" s="186"/>
      <c r="O8" s="187"/>
    </row>
    <row r="9" spans="3:18" ht="26.1" customHeight="1">
      <c r="H9" s="7"/>
      <c r="I9" s="7"/>
      <c r="J9" s="7"/>
      <c r="M9" s="32"/>
      <c r="N9" s="32"/>
      <c r="O9" s="32"/>
      <c r="P9" s="32"/>
      <c r="Q9" s="32"/>
      <c r="R9" s="32"/>
    </row>
    <row r="10" spans="3:18" ht="32.85" customHeight="1">
      <c r="D10" s="153" t="str">
        <f>'入力（門徒情報）'!D27</f>
        <v>９１０－０８０４</v>
      </c>
      <c r="E10" s="153"/>
      <c r="F10" s="146"/>
      <c r="G10" s="146"/>
      <c r="M10" s="32"/>
      <c r="O10" s="190"/>
      <c r="P10" s="191"/>
      <c r="Q10" s="191"/>
      <c r="R10" s="191"/>
    </row>
    <row r="11" spans="3:18" ht="23.85" customHeight="1">
      <c r="D11" s="229" t="str">
        <f>'入力（門徒情報）'!D28</f>
        <v>福井市高木中央２丁目２２０８番
サニーハイツ高木３０２号</v>
      </c>
      <c r="E11" s="229"/>
      <c r="F11" s="229"/>
      <c r="G11" s="229"/>
      <c r="H11" s="229"/>
      <c r="I11" s="229"/>
      <c r="J11" s="147"/>
    </row>
    <row r="12" spans="3:18" ht="23.85" customHeight="1">
      <c r="C12" s="57"/>
      <c r="D12" s="229"/>
      <c r="E12" s="229"/>
      <c r="F12" s="229"/>
      <c r="G12" s="229"/>
      <c r="H12" s="229"/>
      <c r="I12" s="229"/>
      <c r="J12" s="147"/>
    </row>
    <row r="13" spans="3:18" ht="27.75" customHeight="1">
      <c r="E13" s="228" t="str">
        <f>'入力（門徒情報）'!D29</f>
        <v>０７７６－５２－２９１９</v>
      </c>
      <c r="F13" s="228"/>
      <c r="G13" s="228"/>
      <c r="H13" s="228"/>
      <c r="I13" s="154"/>
      <c r="J13" s="146"/>
    </row>
    <row r="16" spans="3:18" ht="28.15" customHeight="1"/>
    <row r="17" spans="2:10" ht="19.7" customHeight="1"/>
    <row r="18" spans="2:10" ht="19.899999999999999" customHeight="1"/>
    <row r="19" spans="2:10" ht="17.100000000000001" customHeight="1">
      <c r="B19" s="227" t="str">
        <f>"（　寺院番号　" &amp;'入力（寺院情報）'!D7&amp;"　）"</f>
        <v>（　寺院番号　１２－２３－４５　）</v>
      </c>
      <c r="C19" s="227"/>
      <c r="D19" s="227"/>
      <c r="E19" s="227"/>
      <c r="F19" s="227"/>
      <c r="G19" s="227"/>
      <c r="H19" s="227"/>
    </row>
    <row r="20" spans="2:10" ht="17.100000000000001" customHeight="1">
      <c r="D20" s="149"/>
    </row>
    <row r="21" spans="2:10" ht="28.35" customHeight="1">
      <c r="C21" s="225" t="str">
        <f>'入力（寺院情報）'!D8&amp;"教区 "&amp;'入力（寺院情報）'!D9&amp;"組"</f>
        <v>福井教区 吉田組</v>
      </c>
      <c r="D21" s="225"/>
      <c r="E21" s="225"/>
      <c r="F21" s="225"/>
      <c r="G21" s="226" t="str">
        <f>'入力（寺院情報）'!D6</f>
        <v>道場寺</v>
      </c>
      <c r="H21" s="226"/>
      <c r="I21" s="226"/>
      <c r="J21" s="151"/>
    </row>
  </sheetData>
  <sheetProtection sheet="1" objects="1" scenarios="1"/>
  <mergeCells count="14">
    <mergeCell ref="E7:I7"/>
    <mergeCell ref="C21:F21"/>
    <mergeCell ref="G21:I21"/>
    <mergeCell ref="B19:H19"/>
    <mergeCell ref="N4:O4"/>
    <mergeCell ref="N8:O8"/>
    <mergeCell ref="O10:R10"/>
    <mergeCell ref="E13:H13"/>
    <mergeCell ref="D11:I12"/>
    <mergeCell ref="P4:Q4"/>
    <mergeCell ref="N5:O5"/>
    <mergeCell ref="P5:Q5"/>
    <mergeCell ref="N6:P6"/>
    <mergeCell ref="Q6:R6"/>
  </mergeCells>
  <phoneticPr fontId="1"/>
  <pageMargins left="0.39370078740157483" right="0.39370078740157483" top="0.39370078740157483" bottom="0.23622047244094491" header="0.27559055118110237" footer="0"/>
  <pageSetup paperSize="9" orientation="landscape" horizontalDpi="4294967292" r:id="rId1"/>
  <headerFooter scaleWithDoc="0">
    <oddHeader>&amp;L&amp;G</oddHeader>
  </headerFooter>
  <legacyDrawingHF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B9E064-FF41-49DF-8D27-C46E9198E2B9}">
  <sheetPr>
    <pageSetUpPr fitToPage="1"/>
  </sheetPr>
  <dimension ref="B1:W21"/>
  <sheetViews>
    <sheetView showZeros="0" view="pageLayout" zoomScaleNormal="80" workbookViewId="0"/>
  </sheetViews>
  <sheetFormatPr defaultColWidth="8" defaultRowHeight="28.35" customHeight="1"/>
  <cols>
    <col min="1" max="9" width="6.375" style="11" customWidth="1"/>
    <col min="10" max="12" width="8.375" style="11" customWidth="1"/>
    <col min="13" max="14" width="6.375" style="11" customWidth="1"/>
    <col min="15" max="15" width="1.375" style="11" customWidth="1"/>
    <col min="16" max="16" width="4.5" style="11" customWidth="1"/>
    <col min="17" max="17" width="2.25" style="11" customWidth="1"/>
    <col min="18" max="18" width="4.5" style="11" customWidth="1"/>
    <col min="19" max="19" width="1.375" style="11" customWidth="1"/>
    <col min="20" max="23" width="6.375" style="11" customWidth="1"/>
    <col min="24" max="16384" width="8" style="11"/>
  </cols>
  <sheetData>
    <row r="1" spans="3:23" ht="24" customHeight="1"/>
    <row r="2" spans="3:23" ht="16.899999999999999" customHeight="1">
      <c r="M2" s="144" t="str">
        <f>'入力（門徒情報）'!D11</f>
        <v>おう</v>
      </c>
      <c r="N2" s="145" t="str">
        <f>'入力（門徒情報）'!D12</f>
        <v>ほう</v>
      </c>
      <c r="O2" s="107"/>
      <c r="P2" s="90" t="s">
        <v>20</v>
      </c>
      <c r="R2" s="90" t="s">
        <v>18</v>
      </c>
      <c r="S2" s="90"/>
      <c r="T2" s="106" t="str">
        <f>'入力（門徒情報）'!D16</f>
        <v>けん</v>
      </c>
      <c r="U2" s="106" t="str">
        <f>'入力（門徒情報）'!D17</f>
        <v>しょう</v>
      </c>
      <c r="V2" s="107"/>
    </row>
    <row r="3" spans="3:23" ht="27.75" customHeight="1">
      <c r="M3" s="13" t="str">
        <f>'入力（門徒情報）'!D9</f>
        <v>應</v>
      </c>
      <c r="N3" s="13" t="str">
        <f>'入力（門徒情報）'!D10</f>
        <v>報</v>
      </c>
      <c r="O3" s="13"/>
      <c r="P3" s="89" t="s">
        <v>21</v>
      </c>
      <c r="R3" s="89" t="s">
        <v>19</v>
      </c>
      <c r="S3" s="89"/>
      <c r="T3" s="9" t="str">
        <f>'入力（門徒情報）'!D14</f>
        <v>顯</v>
      </c>
      <c r="U3" s="9" t="str">
        <f>'入力（門徒情報）'!D15</f>
        <v>證</v>
      </c>
      <c r="V3" s="13"/>
    </row>
    <row r="4" spans="3:23" ht="16.350000000000001" customHeight="1">
      <c r="M4" s="195" t="str">
        <f>'入力（門徒情報）'!D21</f>
        <v>はせがわ</v>
      </c>
      <c r="N4" s="195"/>
      <c r="O4" s="195"/>
      <c r="P4" s="195"/>
      <c r="Q4" s="15"/>
      <c r="R4" s="195" t="str">
        <f>'入力（門徒情報）'!D22</f>
        <v>やそべえ</v>
      </c>
      <c r="S4" s="195"/>
      <c r="T4" s="195"/>
      <c r="U4" s="195"/>
      <c r="V4" s="15"/>
    </row>
    <row r="5" spans="3:23" ht="27.75" customHeight="1">
      <c r="M5" s="197" t="str">
        <f>'入力（門徒情報）'!D19</f>
        <v>長谷川</v>
      </c>
      <c r="N5" s="197"/>
      <c r="O5" s="197"/>
      <c r="P5" s="197"/>
      <c r="Q5" s="16"/>
      <c r="R5" s="197" t="str">
        <f>'入力（門徒情報）'!D20</f>
        <v>弥惣兵衛</v>
      </c>
      <c r="S5" s="197"/>
      <c r="T5" s="197"/>
      <c r="U5" s="197"/>
      <c r="V5" s="16"/>
    </row>
    <row r="6" spans="3:23" ht="33.75" customHeight="1">
      <c r="M6" s="230">
        <f>'入力（門徒情報）'!D24*1</f>
        <v>43391</v>
      </c>
      <c r="N6" s="230"/>
      <c r="O6" s="230"/>
      <c r="P6" s="230"/>
      <c r="Q6" s="230"/>
      <c r="R6" s="230"/>
      <c r="S6" s="232" t="str">
        <f>"行年" &amp;'入力（門徒情報）'!D25&amp;"歳"</f>
        <v>行年８３歳</v>
      </c>
      <c r="T6" s="232"/>
      <c r="U6" s="232"/>
      <c r="V6" s="232"/>
      <c r="W6" s="91"/>
    </row>
    <row r="7" spans="3:23" ht="18.600000000000001" customHeight="1">
      <c r="E7" s="223" t="str">
        <f>'入力（寺院情報）'!D14</f>
        <v>第二無量寿堂
１階Ｂ－６６６号</v>
      </c>
      <c r="F7" s="224"/>
      <c r="G7" s="224"/>
      <c r="H7" s="224"/>
      <c r="I7" s="224"/>
      <c r="J7" s="150"/>
    </row>
    <row r="8" spans="3:23" ht="26.1" customHeight="1">
      <c r="L8" s="18"/>
      <c r="M8" s="18"/>
      <c r="N8" s="18"/>
      <c r="O8" s="18"/>
      <c r="P8" s="18"/>
      <c r="Q8" s="18"/>
      <c r="R8" s="18"/>
      <c r="S8" s="18"/>
      <c r="T8" s="18"/>
      <c r="U8" s="18"/>
      <c r="V8" s="18"/>
      <c r="W8" s="18"/>
    </row>
    <row r="9" spans="3:23" ht="26.1" customHeight="1">
      <c r="H9" s="7"/>
      <c r="I9" s="7"/>
      <c r="J9" s="7"/>
      <c r="L9" s="18"/>
      <c r="M9" s="18"/>
      <c r="N9" s="18"/>
      <c r="O9" s="18"/>
      <c r="P9" s="18"/>
      <c r="Q9" s="18"/>
      <c r="R9" s="18"/>
      <c r="S9" s="18"/>
      <c r="T9" s="18"/>
      <c r="U9" s="18"/>
      <c r="V9" s="18"/>
      <c r="W9" s="18"/>
    </row>
    <row r="10" spans="3:23" ht="32.25" customHeight="1">
      <c r="D10" s="153" t="str">
        <f>'入力（門徒情報）'!D27</f>
        <v>９１０－０８０４</v>
      </c>
      <c r="E10" s="153"/>
      <c r="F10" s="146"/>
      <c r="G10" s="146"/>
      <c r="L10" s="18"/>
      <c r="M10" s="18"/>
      <c r="N10" s="18"/>
      <c r="O10" s="18"/>
      <c r="P10" s="18"/>
      <c r="Q10" s="18"/>
      <c r="R10" s="18"/>
      <c r="S10" s="18"/>
      <c r="T10" s="18"/>
      <c r="U10" s="18"/>
      <c r="V10" s="18"/>
      <c r="W10" s="18"/>
    </row>
    <row r="11" spans="3:23" ht="23.85" customHeight="1">
      <c r="D11" s="229" t="str">
        <f>'入力（門徒情報）'!D28</f>
        <v>福井市高木中央２丁目２２０８番
サニーハイツ高木３０２号</v>
      </c>
      <c r="E11" s="229"/>
      <c r="F11" s="229"/>
      <c r="G11" s="229"/>
      <c r="H11" s="229"/>
      <c r="I11" s="229"/>
      <c r="J11" s="147"/>
      <c r="L11" s="18"/>
      <c r="M11" s="18"/>
      <c r="N11" s="18"/>
      <c r="O11" s="18"/>
      <c r="P11" s="18"/>
      <c r="Q11" s="18"/>
      <c r="R11" s="18"/>
      <c r="S11" s="18"/>
      <c r="T11" s="18"/>
      <c r="U11" s="18"/>
      <c r="V11" s="18"/>
      <c r="W11" s="18"/>
    </row>
    <row r="12" spans="3:23" ht="23.85" customHeight="1">
      <c r="C12" s="57"/>
      <c r="D12" s="229"/>
      <c r="E12" s="229"/>
      <c r="F12" s="229"/>
      <c r="G12" s="229"/>
      <c r="H12" s="229"/>
      <c r="I12" s="229"/>
      <c r="J12" s="147"/>
      <c r="L12" s="18"/>
      <c r="M12" s="18"/>
      <c r="N12" s="18"/>
      <c r="O12" s="18"/>
      <c r="P12" s="18"/>
      <c r="Q12" s="18"/>
      <c r="R12" s="18"/>
      <c r="S12" s="18"/>
      <c r="T12" s="18"/>
      <c r="U12" s="18"/>
      <c r="V12" s="18"/>
      <c r="W12" s="18"/>
    </row>
    <row r="13" spans="3:23" ht="27.75" customHeight="1">
      <c r="E13" s="228" t="str">
        <f>'入力（門徒情報）'!D29</f>
        <v>０７７６－５２－２９１９</v>
      </c>
      <c r="F13" s="228"/>
      <c r="G13" s="228"/>
      <c r="H13" s="228"/>
      <c r="I13" s="154"/>
      <c r="J13" s="146"/>
      <c r="L13" s="18"/>
      <c r="M13" s="18"/>
      <c r="N13" s="18"/>
      <c r="O13" s="18"/>
      <c r="P13" s="18"/>
      <c r="Q13" s="18"/>
      <c r="R13" s="18"/>
      <c r="S13" s="18"/>
      <c r="T13" s="18"/>
      <c r="U13" s="18"/>
      <c r="V13" s="18"/>
      <c r="W13" s="18"/>
    </row>
    <row r="16" spans="3:23" ht="28.15" customHeight="1"/>
    <row r="17" spans="2:10" ht="19.7" customHeight="1"/>
    <row r="18" spans="2:10" ht="19.899999999999999" customHeight="1"/>
    <row r="19" spans="2:10" ht="17.100000000000001" customHeight="1">
      <c r="B19" s="227" t="str">
        <f>"（　寺院番号　" &amp;'入力（寺院情報）'!D7&amp;"　）"</f>
        <v>（　寺院番号　１２－２３－４５　）</v>
      </c>
      <c r="C19" s="227"/>
      <c r="D19" s="227"/>
      <c r="E19" s="227"/>
      <c r="F19" s="227"/>
      <c r="G19" s="227"/>
      <c r="H19" s="227"/>
    </row>
    <row r="20" spans="2:10" ht="17.100000000000001" customHeight="1">
      <c r="D20" s="149"/>
    </row>
    <row r="21" spans="2:10" ht="28.35" customHeight="1">
      <c r="C21" s="225" t="str">
        <f>'入力（寺院情報）'!D8&amp;"教区 "&amp;'入力（寺院情報）'!D9&amp;"組"</f>
        <v>福井教区 吉田組</v>
      </c>
      <c r="D21" s="225"/>
      <c r="E21" s="225"/>
      <c r="F21" s="225"/>
      <c r="G21" s="226" t="str">
        <f>'入力（寺院情報）'!D6</f>
        <v>道場寺</v>
      </c>
      <c r="H21" s="226"/>
      <c r="I21" s="226"/>
      <c r="J21" s="151"/>
    </row>
  </sheetData>
  <sheetProtection sheet="1" objects="1" scenarios="1"/>
  <mergeCells count="12">
    <mergeCell ref="B19:H19"/>
    <mergeCell ref="C21:F21"/>
    <mergeCell ref="G21:I21"/>
    <mergeCell ref="R4:U4"/>
    <mergeCell ref="M5:P5"/>
    <mergeCell ref="R5:U5"/>
    <mergeCell ref="M6:R6"/>
    <mergeCell ref="S6:V6"/>
    <mergeCell ref="M4:P4"/>
    <mergeCell ref="E7:I7"/>
    <mergeCell ref="D11:I12"/>
    <mergeCell ref="E13:H13"/>
  </mergeCells>
  <phoneticPr fontId="1"/>
  <pageMargins left="0.39370078740157483" right="0.39370078740157483" top="0.39370078740157483" bottom="0.23622047244094491" header="0.27559055118110237" footer="0"/>
  <pageSetup paperSize="9" scale="99" orientation="landscape" horizontalDpi="4294967292" r:id="rId1"/>
  <headerFooter scaleWithDoc="0">
    <oddHeader>&amp;L&amp;G</oddHeader>
  </headerFooter>
  <legacyDrawingHF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33E5DF-6054-4CDB-AFEA-CFA71518B9F5}">
  <sheetPr>
    <pageSetUpPr fitToPage="1"/>
  </sheetPr>
  <dimension ref="B1:Q21"/>
  <sheetViews>
    <sheetView showZeros="0" view="pageLayout" zoomScaleNormal="80" workbookViewId="0"/>
  </sheetViews>
  <sheetFormatPr defaultColWidth="8.25" defaultRowHeight="28.35" customHeight="1"/>
  <cols>
    <col min="1" max="9" width="6.375" style="11" customWidth="1"/>
    <col min="10" max="12" width="8.75" style="11" customWidth="1"/>
    <col min="13" max="16384" width="8.25" style="11"/>
  </cols>
  <sheetData>
    <row r="1" spans="3:17" ht="24" customHeight="1"/>
    <row r="2" spans="3:17" ht="16.350000000000001" customHeight="1">
      <c r="M2" s="85" t="s">
        <v>18</v>
      </c>
      <c r="N2" s="85" t="s">
        <v>55</v>
      </c>
      <c r="O2" s="84" t="str">
        <f>'入力（門徒情報）'!D16</f>
        <v>けん</v>
      </c>
      <c r="P2" s="83" t="str">
        <f>'入力（門徒情報）'!D17</f>
        <v>しょう</v>
      </c>
    </row>
    <row r="3" spans="3:17" ht="27.75" customHeight="1">
      <c r="M3" s="69" t="s">
        <v>19</v>
      </c>
      <c r="N3" s="69" t="s">
        <v>54</v>
      </c>
      <c r="O3" s="9" t="str">
        <f>'入力（門徒情報）'!D14</f>
        <v>顯</v>
      </c>
      <c r="P3" s="9" t="str">
        <f>'入力（門徒情報）'!D15</f>
        <v>證</v>
      </c>
    </row>
    <row r="4" spans="3:17" ht="15.75" customHeight="1">
      <c r="M4" s="194" t="str">
        <f>'入力（門徒情報）'!D21</f>
        <v>はせがわ</v>
      </c>
      <c r="N4" s="195"/>
      <c r="O4" s="194" t="str">
        <f>'入力（門徒情報）'!D22</f>
        <v>やそべえ</v>
      </c>
      <c r="P4" s="195"/>
    </row>
    <row r="5" spans="3:17" ht="27.75" customHeight="1">
      <c r="M5" s="196" t="str">
        <f>'入力（門徒情報）'!D19</f>
        <v>長谷川</v>
      </c>
      <c r="N5" s="197"/>
      <c r="O5" s="196" t="str">
        <f>'入力（門徒情報）'!D20</f>
        <v>弥惣兵衛</v>
      </c>
      <c r="P5" s="197"/>
    </row>
    <row r="6" spans="3:17" ht="33.950000000000003" customHeight="1">
      <c r="M6" s="230">
        <f>'入力（門徒情報）'!D24*1</f>
        <v>43391</v>
      </c>
      <c r="N6" s="230"/>
      <c r="O6" s="230"/>
      <c r="P6" s="231" t="str">
        <f>"行年" &amp;'入力（門徒情報）'!D25&amp;"歳"</f>
        <v>行年８３歳</v>
      </c>
      <c r="Q6" s="231"/>
    </row>
    <row r="7" spans="3:17" ht="18.600000000000001" customHeight="1">
      <c r="E7" s="223" t="str">
        <f>'入力（寺院情報）'!D14</f>
        <v>第二無量寿堂
１階Ｂ－６６６号</v>
      </c>
      <c r="F7" s="224"/>
      <c r="G7" s="224"/>
      <c r="H7" s="224"/>
      <c r="I7" s="224"/>
      <c r="J7" s="150"/>
    </row>
    <row r="8" spans="3:17" ht="26.1" customHeight="1">
      <c r="M8" s="186"/>
      <c r="N8" s="187"/>
    </row>
    <row r="9" spans="3:17" ht="26.1" customHeight="1">
      <c r="H9" s="7"/>
      <c r="I9" s="7"/>
      <c r="J9" s="7"/>
      <c r="L9" s="32"/>
      <c r="M9" s="32"/>
      <c r="N9" s="32"/>
      <c r="O9" s="32"/>
      <c r="P9" s="32"/>
      <c r="Q9" s="32"/>
    </row>
    <row r="10" spans="3:17" ht="32.85" customHeight="1">
      <c r="D10" s="153" t="str">
        <f>'入力（門徒情報）'!D27</f>
        <v>９１０－０８０４</v>
      </c>
      <c r="E10" s="153"/>
      <c r="F10" s="146"/>
      <c r="G10" s="146"/>
      <c r="L10" s="32"/>
      <c r="N10" s="190"/>
      <c r="O10" s="191"/>
      <c r="P10" s="191"/>
      <c r="Q10" s="191"/>
    </row>
    <row r="11" spans="3:17" ht="23.85" customHeight="1">
      <c r="D11" s="229" t="str">
        <f>'入力（門徒情報）'!D28</f>
        <v>福井市高木中央２丁目２２０８番
サニーハイツ高木３０２号</v>
      </c>
      <c r="E11" s="229"/>
      <c r="F11" s="229"/>
      <c r="G11" s="229"/>
      <c r="H11" s="229"/>
      <c r="I11" s="229"/>
      <c r="J11" s="147"/>
    </row>
    <row r="12" spans="3:17" ht="23.85" customHeight="1">
      <c r="C12" s="57"/>
      <c r="D12" s="229"/>
      <c r="E12" s="229"/>
      <c r="F12" s="229"/>
      <c r="G12" s="229"/>
      <c r="H12" s="229"/>
      <c r="I12" s="229"/>
      <c r="J12" s="147"/>
    </row>
    <row r="13" spans="3:17" ht="27.75" customHeight="1">
      <c r="E13" s="228" t="str">
        <f>'入力（門徒情報）'!D29</f>
        <v>０７７６－５２－２９１９</v>
      </c>
      <c r="F13" s="228"/>
      <c r="G13" s="228"/>
      <c r="H13" s="228"/>
      <c r="I13" s="154"/>
      <c r="J13" s="146"/>
    </row>
    <row r="16" spans="3:17" ht="28.15" customHeight="1"/>
    <row r="17" spans="2:10" ht="19.7" customHeight="1"/>
    <row r="18" spans="2:10" ht="19.899999999999999" customHeight="1"/>
    <row r="19" spans="2:10" ht="17.100000000000001" customHeight="1">
      <c r="B19" s="227" t="str">
        <f>"（　寺院番号　" &amp;'入力（寺院情報）'!D7&amp;"　）"</f>
        <v>（　寺院番号　１２－２３－４５　）</v>
      </c>
      <c r="C19" s="227"/>
      <c r="D19" s="227"/>
      <c r="E19" s="227"/>
      <c r="F19" s="227"/>
      <c r="G19" s="227"/>
      <c r="H19" s="227"/>
    </row>
    <row r="20" spans="2:10" ht="17.100000000000001" customHeight="1">
      <c r="D20" s="149"/>
    </row>
    <row r="21" spans="2:10" ht="28.35" customHeight="1">
      <c r="C21" s="225" t="str">
        <f>'入力（寺院情報）'!D8&amp;"教区 "&amp;'入力（寺院情報）'!D9&amp;"組"</f>
        <v>福井教区 吉田組</v>
      </c>
      <c r="D21" s="225"/>
      <c r="E21" s="225"/>
      <c r="F21" s="225"/>
      <c r="G21" s="226" t="str">
        <f>'入力（寺院情報）'!D6</f>
        <v>道場寺</v>
      </c>
      <c r="H21" s="226"/>
      <c r="I21" s="226"/>
      <c r="J21" s="151"/>
    </row>
  </sheetData>
  <sheetProtection sheet="1" objects="1" scenarios="1"/>
  <mergeCells count="14">
    <mergeCell ref="B19:H19"/>
    <mergeCell ref="C21:F21"/>
    <mergeCell ref="G21:I21"/>
    <mergeCell ref="M4:N4"/>
    <mergeCell ref="O4:P4"/>
    <mergeCell ref="M5:N5"/>
    <mergeCell ref="O5:P5"/>
    <mergeCell ref="M6:O6"/>
    <mergeCell ref="P6:Q6"/>
    <mergeCell ref="M8:N8"/>
    <mergeCell ref="N10:Q10"/>
    <mergeCell ref="E7:I7"/>
    <mergeCell ref="D11:I12"/>
    <mergeCell ref="E13:H13"/>
  </mergeCells>
  <phoneticPr fontId="1"/>
  <pageMargins left="0.39370078740157483" right="0.39370078740157483" top="0.39370078740157483" bottom="0.23622047244094491" header="0.27559055118110237" footer="0"/>
  <pageSetup paperSize="9" orientation="landscape" horizontalDpi="4294967292" r:id="rId1"/>
  <headerFooter scaleWithDoc="0">
    <oddHeader>&amp;L&amp;G</oddHeader>
  </headerFooter>
  <legacyDrawingHF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9EBF4C-D411-497D-9A05-2AB44662574F}">
  <sheetPr>
    <pageSetUpPr fitToPage="1"/>
  </sheetPr>
  <dimension ref="B1:X21"/>
  <sheetViews>
    <sheetView showZeros="0" view="pageLayout" zoomScaleNormal="80" workbookViewId="0"/>
  </sheetViews>
  <sheetFormatPr defaultColWidth="5.75" defaultRowHeight="28.35" customHeight="1"/>
  <cols>
    <col min="1" max="9" width="6.375" style="11" customWidth="1"/>
    <col min="10" max="12" width="7.5" style="11" customWidth="1"/>
    <col min="13" max="13" width="5.875" style="11" customWidth="1"/>
    <col min="14" max="14" width="6.375" style="11" customWidth="1"/>
    <col min="15" max="15" width="1.375" style="11" customWidth="1"/>
    <col min="16" max="16" width="4.5" style="11" customWidth="1"/>
    <col min="17" max="17" width="2.25" style="11" customWidth="1"/>
    <col min="18" max="19" width="4.5" style="11" customWidth="1"/>
    <col min="20" max="20" width="1.375" style="11" customWidth="1"/>
    <col min="21" max="24" width="6.375" style="11" customWidth="1"/>
    <col min="25" max="16384" width="5.75" style="11"/>
  </cols>
  <sheetData>
    <row r="1" spans="3:24" ht="24" customHeight="1"/>
    <row r="2" spans="3:24" ht="16.899999999999999" customHeight="1">
      <c r="M2" s="106" t="str">
        <f>'入力（門徒情報）'!D11</f>
        <v>おう</v>
      </c>
      <c r="N2" s="107" t="str">
        <f>'入力（門徒情報）'!D12</f>
        <v>ほう</v>
      </c>
      <c r="O2" s="85"/>
      <c r="P2" s="90" t="s">
        <v>20</v>
      </c>
      <c r="R2" s="90" t="s">
        <v>18</v>
      </c>
      <c r="S2" s="105" t="s">
        <v>87</v>
      </c>
      <c r="T2" s="90"/>
      <c r="U2" s="106" t="str">
        <f>'入力（門徒情報）'!D16</f>
        <v>けん</v>
      </c>
      <c r="V2" s="106" t="str">
        <f>'入力（門徒情報）'!D17</f>
        <v>しょう</v>
      </c>
      <c r="W2" s="85"/>
    </row>
    <row r="3" spans="3:24" ht="27.75" customHeight="1">
      <c r="M3" s="9" t="str">
        <f>'入力（門徒情報）'!D9</f>
        <v>應</v>
      </c>
      <c r="N3" s="9" t="str">
        <f>'入力（門徒情報）'!D10</f>
        <v>報</v>
      </c>
      <c r="O3" s="13"/>
      <c r="P3" s="89" t="s">
        <v>21</v>
      </c>
      <c r="R3" s="89" t="s">
        <v>19</v>
      </c>
      <c r="S3" s="89" t="s">
        <v>86</v>
      </c>
      <c r="T3" s="89"/>
      <c r="U3" s="9" t="str">
        <f>'入力（門徒情報）'!D14</f>
        <v>顯</v>
      </c>
      <c r="V3" s="9" t="str">
        <f>'入力（門徒情報）'!D15</f>
        <v>證</v>
      </c>
      <c r="W3" s="13"/>
    </row>
    <row r="4" spans="3:24" ht="16.350000000000001" customHeight="1">
      <c r="M4" s="195" t="str">
        <f>'入力（門徒情報）'!D21</f>
        <v>はせがわ</v>
      </c>
      <c r="N4" s="195"/>
      <c r="O4" s="195"/>
      <c r="P4" s="195"/>
      <c r="Q4" s="15"/>
      <c r="R4" s="195" t="str">
        <f>'入力（門徒情報）'!D22</f>
        <v>やそべえ</v>
      </c>
      <c r="S4" s="195"/>
      <c r="T4" s="195"/>
      <c r="U4" s="195"/>
      <c r="V4" s="15"/>
      <c r="W4" s="15"/>
    </row>
    <row r="5" spans="3:24" ht="27.75" customHeight="1">
      <c r="M5" s="197" t="str">
        <f>'入力（門徒情報）'!D19</f>
        <v>長谷川</v>
      </c>
      <c r="N5" s="197"/>
      <c r="O5" s="197"/>
      <c r="P5" s="197"/>
      <c r="Q5" s="16"/>
      <c r="R5" s="197" t="str">
        <f>'入力（門徒情報）'!D20</f>
        <v>弥惣兵衛</v>
      </c>
      <c r="S5" s="197"/>
      <c r="T5" s="197"/>
      <c r="U5" s="197"/>
      <c r="V5" s="16"/>
      <c r="W5" s="16"/>
    </row>
    <row r="6" spans="3:24" ht="33.75" customHeight="1">
      <c r="M6" s="230">
        <f>'入力（門徒情報）'!D24*1</f>
        <v>43391</v>
      </c>
      <c r="N6" s="230"/>
      <c r="O6" s="230"/>
      <c r="P6" s="230"/>
      <c r="Q6" s="230"/>
      <c r="R6" s="230"/>
      <c r="S6" s="233" t="str">
        <f>"行年" &amp;'入力（門徒情報）'!D25&amp;"歳"</f>
        <v>行年８３歳</v>
      </c>
      <c r="T6" s="233"/>
      <c r="U6" s="233"/>
      <c r="V6" s="233"/>
      <c r="W6" s="110"/>
      <c r="X6" s="91"/>
    </row>
    <row r="7" spans="3:24" ht="18.600000000000001" customHeight="1">
      <c r="E7" s="223" t="str">
        <f>'入力（寺院情報）'!D14</f>
        <v>第二無量寿堂
１階Ｂ－６６６号</v>
      </c>
      <c r="F7" s="224"/>
      <c r="G7" s="224"/>
      <c r="H7" s="224"/>
      <c r="I7" s="224"/>
      <c r="J7" s="152"/>
      <c r="K7" s="150"/>
    </row>
    <row r="8" spans="3:24" ht="26.1" customHeight="1">
      <c r="N8" s="186"/>
      <c r="O8" s="187"/>
    </row>
    <row r="9" spans="3:24" ht="26.1" customHeight="1">
      <c r="H9" s="7"/>
      <c r="I9" s="7"/>
      <c r="J9" s="7"/>
      <c r="K9" s="7"/>
      <c r="M9" s="32"/>
      <c r="N9" s="32"/>
      <c r="O9" s="32"/>
      <c r="P9" s="32"/>
      <c r="Q9" s="32"/>
      <c r="R9" s="32"/>
    </row>
    <row r="10" spans="3:24" ht="32.25" customHeight="1">
      <c r="D10" s="153" t="str">
        <f>'入力（門徒情報）'!D27</f>
        <v>９１０－０８０４</v>
      </c>
      <c r="E10" s="153"/>
      <c r="F10" s="146"/>
      <c r="G10" s="146"/>
      <c r="M10" s="18"/>
      <c r="N10" s="18"/>
      <c r="O10" s="18"/>
      <c r="P10" s="18"/>
      <c r="Q10" s="18"/>
      <c r="R10" s="18"/>
      <c r="S10" s="18"/>
      <c r="T10" s="18"/>
      <c r="U10" s="18"/>
      <c r="V10" s="18"/>
      <c r="W10" s="18"/>
      <c r="X10" s="18"/>
    </row>
    <row r="11" spans="3:24" ht="23.85" customHeight="1">
      <c r="D11" s="229" t="str">
        <f>'入力（門徒情報）'!D28</f>
        <v>福井市高木中央２丁目２２０８番
サニーハイツ高木３０２号</v>
      </c>
      <c r="E11" s="229"/>
      <c r="F11" s="229"/>
      <c r="G11" s="229"/>
      <c r="H11" s="229"/>
      <c r="I11" s="229"/>
      <c r="J11" s="147"/>
      <c r="K11" s="147"/>
      <c r="M11" s="18"/>
      <c r="N11" s="18"/>
      <c r="O11" s="18"/>
      <c r="P11" s="18"/>
      <c r="Q11" s="18"/>
      <c r="R11" s="18"/>
      <c r="S11" s="18"/>
      <c r="T11" s="18"/>
      <c r="U11" s="18"/>
      <c r="V11" s="18"/>
      <c r="W11" s="18"/>
      <c r="X11" s="18"/>
    </row>
    <row r="12" spans="3:24" ht="23.85" customHeight="1">
      <c r="C12" s="57"/>
      <c r="D12" s="229"/>
      <c r="E12" s="229"/>
      <c r="F12" s="229"/>
      <c r="G12" s="229"/>
      <c r="H12" s="229"/>
      <c r="I12" s="229"/>
      <c r="J12" s="147"/>
      <c r="K12" s="147"/>
      <c r="M12" s="18"/>
      <c r="N12" s="18"/>
      <c r="O12" s="18"/>
      <c r="P12" s="18"/>
      <c r="Q12" s="18"/>
      <c r="R12" s="18"/>
      <c r="S12" s="18"/>
      <c r="T12" s="18"/>
      <c r="U12" s="18"/>
      <c r="V12" s="18"/>
      <c r="W12" s="18"/>
      <c r="X12" s="18"/>
    </row>
    <row r="13" spans="3:24" ht="28.35" customHeight="1">
      <c r="E13" s="228" t="str">
        <f>'入力（門徒情報）'!D29</f>
        <v>０７７６－５２－２９１９</v>
      </c>
      <c r="F13" s="228"/>
      <c r="G13" s="228"/>
      <c r="H13" s="228"/>
      <c r="I13" s="154"/>
      <c r="J13" s="154"/>
      <c r="K13" s="146"/>
      <c r="M13" s="18"/>
      <c r="N13" s="18"/>
      <c r="O13" s="18"/>
      <c r="P13" s="18"/>
      <c r="Q13" s="18"/>
      <c r="R13" s="18"/>
      <c r="S13" s="18"/>
      <c r="T13" s="18"/>
      <c r="U13" s="18"/>
      <c r="V13" s="18"/>
      <c r="W13" s="18"/>
      <c r="X13" s="18"/>
    </row>
    <row r="16" spans="3:24" ht="28.15" customHeight="1"/>
    <row r="17" spans="2:10" ht="19.7" customHeight="1"/>
    <row r="18" spans="2:10" ht="19.899999999999999" customHeight="1"/>
    <row r="19" spans="2:10" ht="17.100000000000001" customHeight="1">
      <c r="B19" s="227" t="str">
        <f>"（　寺院番号　" &amp;'入力（寺院情報）'!D7&amp;"　）"</f>
        <v>（　寺院番号　１２－２３－４５　）</v>
      </c>
      <c r="C19" s="227"/>
      <c r="D19" s="227"/>
      <c r="E19" s="227"/>
      <c r="F19" s="227"/>
      <c r="G19" s="227"/>
      <c r="H19" s="227"/>
    </row>
    <row r="20" spans="2:10" ht="17.100000000000001" customHeight="1">
      <c r="D20" s="149"/>
    </row>
    <row r="21" spans="2:10" ht="28.35" customHeight="1">
      <c r="C21" s="225" t="str">
        <f>'入力（寺院情報）'!D8&amp;"教区 "&amp;'入力（寺院情報）'!D9&amp;"組"</f>
        <v>福井教区 吉田組</v>
      </c>
      <c r="D21" s="225"/>
      <c r="E21" s="225"/>
      <c r="F21" s="225"/>
      <c r="G21" s="226" t="str">
        <f>'入力（寺院情報）'!D6</f>
        <v>道場寺</v>
      </c>
      <c r="H21" s="226"/>
      <c r="I21" s="226"/>
      <c r="J21" s="151"/>
    </row>
  </sheetData>
  <sheetProtection sheet="1" objects="1" scenarios="1"/>
  <mergeCells count="13">
    <mergeCell ref="M4:P4"/>
    <mergeCell ref="R4:U4"/>
    <mergeCell ref="R5:U5"/>
    <mergeCell ref="M6:R6"/>
    <mergeCell ref="S6:V6"/>
    <mergeCell ref="B19:H19"/>
    <mergeCell ref="C21:F21"/>
    <mergeCell ref="G21:I21"/>
    <mergeCell ref="N8:O8"/>
    <mergeCell ref="M5:P5"/>
    <mergeCell ref="E7:I7"/>
    <mergeCell ref="D11:I12"/>
    <mergeCell ref="E13:H13"/>
  </mergeCells>
  <phoneticPr fontId="1"/>
  <pageMargins left="0.39370078740157483" right="0.39370078740157483" top="0.39370078740157483" bottom="0.23622047244094491" header="0.27559055118110237" footer="0"/>
  <pageSetup paperSize="9" orientation="landscape" horizontalDpi="1200" r:id="rId1"/>
  <headerFooter scaleWithDoc="0">
    <oddHeader>&amp;L&amp;G</oddHeader>
  </headerFooter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19</vt:i4>
      </vt:variant>
      <vt:variant>
        <vt:lpstr>名前付き一覧</vt:lpstr>
      </vt:variant>
      <vt:variant>
        <vt:i4>17</vt:i4>
      </vt:variant>
    </vt:vector>
  </HeadingPairs>
  <TitlesOfParts>
    <vt:vector size="36" baseType="lpstr">
      <vt:lpstr>入力（寺院情報）</vt:lpstr>
      <vt:lpstr>入力（受書）</vt:lpstr>
      <vt:lpstr>永代経受書</vt:lpstr>
      <vt:lpstr>入力（門徒情報）</vt:lpstr>
      <vt:lpstr>中陰表（法名）</vt:lpstr>
      <vt:lpstr>中陰表（院号）</vt:lpstr>
      <vt:lpstr>中陰表（法名＆尼）</vt:lpstr>
      <vt:lpstr>中陰表（院号＆尼）</vt:lpstr>
      <vt:lpstr>納骨届（法名）</vt:lpstr>
      <vt:lpstr>納骨届（院号）</vt:lpstr>
      <vt:lpstr>納骨届（尼）</vt:lpstr>
      <vt:lpstr>納骨届（院号＆尼）</vt:lpstr>
      <vt:lpstr>納骨位置</vt:lpstr>
      <vt:lpstr>骨壺ラベル</vt:lpstr>
      <vt:lpstr>骨壺ラベル（尼）</vt:lpstr>
      <vt:lpstr>読経申込（法名）</vt:lpstr>
      <vt:lpstr>読経申込（院号）</vt:lpstr>
      <vt:lpstr>読経申込（尼）</vt:lpstr>
      <vt:lpstr>読経申込（院号＆尼）</vt:lpstr>
      <vt:lpstr>永代経受書!Print_Area</vt:lpstr>
      <vt:lpstr>骨壺ラベル!Print_Area</vt:lpstr>
      <vt:lpstr>'骨壺ラベル（尼）'!Print_Area</vt:lpstr>
      <vt:lpstr>'中陰表（院号＆尼）'!Print_Area</vt:lpstr>
      <vt:lpstr>'中陰表（院号）'!Print_Area</vt:lpstr>
      <vt:lpstr>'中陰表（法名＆尼）'!Print_Area</vt:lpstr>
      <vt:lpstr>'中陰表（法名）'!Print_Area</vt:lpstr>
      <vt:lpstr>'読経申込（院号＆尼）'!Print_Area</vt:lpstr>
      <vt:lpstr>'読経申込（院号）'!Print_Area</vt:lpstr>
      <vt:lpstr>'読経申込（尼）'!Print_Area</vt:lpstr>
      <vt:lpstr>'読経申込（法名）'!Print_Area</vt:lpstr>
      <vt:lpstr>'入力（寺院情報）'!Print_Area</vt:lpstr>
      <vt:lpstr>'入力（受書）'!Print_Area</vt:lpstr>
      <vt:lpstr>'入力（門徒情報）'!Print_Area</vt:lpstr>
      <vt:lpstr>納骨位置!Print_Area</vt:lpstr>
      <vt:lpstr>'納骨届（院号＆尼）'!Print_Area</vt:lpstr>
      <vt:lpstr>'納骨届（院号）'!Print_Area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水上 甚栄</dc:creator>
  <cp:lastModifiedBy>水上 甚栄</cp:lastModifiedBy>
  <cp:lastPrinted>2019-07-15T08:43:42Z</cp:lastPrinted>
  <dcterms:created xsi:type="dcterms:W3CDTF">2019-04-14T19:41:42Z</dcterms:created>
  <dcterms:modified xsi:type="dcterms:W3CDTF">2019-07-17T03:08:09Z</dcterms:modified>
</cp:coreProperties>
</file>